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kova-nv\Desktop\26.05.21\"/>
    </mc:Choice>
  </mc:AlternateContent>
  <bookViews>
    <workbookView xWindow="0" yWindow="0" windowWidth="28800" windowHeight="11835"/>
  </bookViews>
  <sheets>
    <sheet name="Модель" sheetId="1" r:id="rId1"/>
    <sheet name="10 раздел платежи КГиИП" sheetId="2" r:id="rId2"/>
  </sheets>
  <externalReferences>
    <externalReference r:id="rId3"/>
  </externalReferences>
  <definedNames>
    <definedName name="_xlnm.Print_Area" localSheetId="1">'10 раздел платежи КГиИП'!$A$1:$I$29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13" i="2"/>
  <c r="E5" i="2"/>
  <c r="E7" i="2"/>
  <c r="E9" i="2"/>
  <c r="I12" i="2" s="1"/>
  <c r="E11" i="2"/>
  <c r="E3" i="2"/>
  <c r="I3" i="2" s="1"/>
  <c r="I8" i="2"/>
  <c r="I28" i="2" l="1"/>
  <c r="I24" i="2"/>
  <c r="I20" i="2"/>
  <c r="G29" i="2"/>
  <c r="AA14" i="1" s="1"/>
  <c r="E29" i="2"/>
  <c r="I16" i="2"/>
  <c r="I29" i="2"/>
  <c r="X16" i="1"/>
  <c r="I27" i="1"/>
  <c r="J27" i="1" s="1"/>
  <c r="H3" i="2"/>
  <c r="H16" i="2"/>
  <c r="H8" i="2"/>
  <c r="X13" i="1"/>
  <c r="Z13" i="1" s="1"/>
  <c r="H27" i="1"/>
  <c r="H26" i="1"/>
  <c r="I26" i="1" s="1"/>
  <c r="J26" i="1" s="1"/>
  <c r="E28" i="1"/>
  <c r="F28" i="1" s="1"/>
  <c r="G28" i="1" s="1"/>
  <c r="E24" i="1"/>
  <c r="X21" i="1"/>
  <c r="Z21" i="1" s="1"/>
  <c r="X19" i="1"/>
  <c r="Z19" i="1" s="1"/>
  <c r="E12" i="1"/>
  <c r="E11" i="1" s="1"/>
  <c r="W10" i="1"/>
  <c r="W24" i="1" s="1"/>
  <c r="V10" i="1"/>
  <c r="V24" i="1" s="1"/>
  <c r="U10" i="1"/>
  <c r="U24" i="1" s="1"/>
  <c r="H10" i="1"/>
  <c r="I10" i="1" s="1"/>
  <c r="J10" i="1" s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F10" i="1"/>
  <c r="F24" i="1" s="1"/>
  <c r="AA13" i="1" l="1"/>
  <c r="K27" i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K26" i="1"/>
  <c r="L26" i="1" s="1"/>
  <c r="M26" i="1" s="1"/>
  <c r="N26" i="1" s="1"/>
  <c r="O26" i="1" s="1"/>
  <c r="P26" i="1" s="1"/>
  <c r="Q26" i="1" s="1"/>
  <c r="R26" i="1" s="1"/>
  <c r="S26" i="1" s="1"/>
  <c r="T26" i="1" s="1"/>
  <c r="U26" i="1" s="1"/>
  <c r="V26" i="1" s="1"/>
  <c r="W26" i="1" s="1"/>
  <c r="Z16" i="1"/>
  <c r="D29" i="2"/>
  <c r="D30" i="2" s="1"/>
  <c r="H28" i="2"/>
  <c r="H12" i="2"/>
  <c r="G25" i="1"/>
  <c r="H28" i="1"/>
  <c r="F25" i="1"/>
  <c r="F33" i="1" l="1"/>
  <c r="F12" i="1"/>
  <c r="H24" i="2"/>
  <c r="H20" i="2"/>
  <c r="F29" i="2"/>
  <c r="I28" i="1"/>
  <c r="H25" i="1"/>
  <c r="G12" i="1"/>
  <c r="G33" i="1"/>
  <c r="H29" i="2" l="1"/>
  <c r="J28" i="1"/>
  <c r="I25" i="1"/>
  <c r="I12" i="1" s="1"/>
  <c r="I11" i="1" s="1"/>
  <c r="H33" i="1"/>
  <c r="H12" i="1"/>
  <c r="I33" i="1" l="1"/>
  <c r="K28" i="1"/>
  <c r="J25" i="1"/>
  <c r="J33" i="1" l="1"/>
  <c r="J12" i="1"/>
  <c r="K25" i="1"/>
  <c r="L28" i="1"/>
  <c r="K12" i="1" l="1"/>
  <c r="K33" i="1"/>
  <c r="L25" i="1"/>
  <c r="M28" i="1"/>
  <c r="L33" i="1" l="1"/>
  <c r="L12" i="1"/>
  <c r="M25" i="1"/>
  <c r="N28" i="1"/>
  <c r="O28" i="1" l="1"/>
  <c r="N25" i="1"/>
  <c r="M33" i="1"/>
  <c r="M12" i="1"/>
  <c r="N33" i="1" l="1"/>
  <c r="N12" i="1"/>
  <c r="P28" i="1"/>
  <c r="O25" i="1"/>
  <c r="P25" i="1" l="1"/>
  <c r="Q28" i="1"/>
  <c r="O33" i="1"/>
  <c r="O12" i="1"/>
  <c r="Q25" i="1" l="1"/>
  <c r="R28" i="1"/>
  <c r="P33" i="1"/>
  <c r="P12" i="1"/>
  <c r="R25" i="1" l="1"/>
  <c r="S28" i="1"/>
  <c r="Q12" i="1"/>
  <c r="Q11" i="1" s="1"/>
  <c r="Q33" i="1"/>
  <c r="S25" i="1" l="1"/>
  <c r="T28" i="1"/>
  <c r="R33" i="1"/>
  <c r="R12" i="1"/>
  <c r="R11" i="1" s="1"/>
  <c r="U28" i="1" l="1"/>
  <c r="T25" i="1"/>
  <c r="S12" i="1"/>
  <c r="S11" i="1" s="1"/>
  <c r="S33" i="1"/>
  <c r="T33" i="1" l="1"/>
  <c r="T12" i="1"/>
  <c r="T11" i="1" s="1"/>
  <c r="V28" i="1"/>
  <c r="U25" i="1"/>
  <c r="U33" i="1" l="1"/>
  <c r="U12" i="1"/>
  <c r="U11" i="1" s="1"/>
  <c r="W28" i="1"/>
  <c r="W25" i="1" s="1"/>
  <c r="X25" i="1" s="1"/>
  <c r="V25" i="1"/>
  <c r="V33" i="1" l="1"/>
  <c r="V12" i="1"/>
  <c r="V11" i="1" s="1"/>
  <c r="W12" i="1"/>
  <c r="W33" i="1"/>
  <c r="Z25" i="1"/>
  <c r="X33" i="1" l="1"/>
  <c r="W11" i="1"/>
  <c r="X12" i="1"/>
  <c r="Z12" i="1" s="1"/>
  <c r="AA12" i="1" s="1"/>
  <c r="X20" i="1" l="1"/>
  <c r="Z20" i="1" s="1"/>
  <c r="F11" i="1" l="1"/>
  <c r="X18" i="1" l="1"/>
  <c r="Z18" i="1" s="1"/>
  <c r="M11" i="1" l="1"/>
  <c r="N11" i="1" l="1"/>
  <c r="O11" i="1" l="1"/>
  <c r="P11" i="1" l="1"/>
  <c r="X15" i="1"/>
  <c r="Z15" i="1" s="1"/>
  <c r="AA15" i="1" s="1"/>
  <c r="AA11" i="1" s="1"/>
  <c r="X17" i="1" l="1"/>
  <c r="Z17" i="1" s="1"/>
  <c r="L11" i="1" l="1"/>
  <c r="K11" i="1"/>
  <c r="J11" i="1"/>
  <c r="H11" i="1" l="1"/>
  <c r="G11" i="1" l="1"/>
  <c r="X11" i="1" s="1"/>
  <c r="Z11" i="1" s="1"/>
  <c r="X14" i="1"/>
  <c r="Z14" i="1" l="1"/>
  <c r="F30" i="2" s="1"/>
  <c r="Y14" i="1"/>
</calcChain>
</file>

<file path=xl/comments1.xml><?xml version="1.0" encoding="utf-8"?>
<comments xmlns="http://schemas.openxmlformats.org/spreadsheetml/2006/main">
  <authors>
    <author>Автор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объекты должны пройти экспертизу</t>
        </r>
      </text>
    </comment>
  </commentList>
</comments>
</file>

<file path=xl/sharedStrings.xml><?xml version="1.0" encoding="utf-8"?>
<sst xmlns="http://schemas.openxmlformats.org/spreadsheetml/2006/main" count="120" uniqueCount="103">
  <si>
    <t>Финансовая модель концессионного соглашения по уличному освещению в г.Нефтеюганск</t>
  </si>
  <si>
    <t>Акционерное общество "ЮТЭК-Региональные сети"</t>
  </si>
  <si>
    <t>N п/п</t>
  </si>
  <si>
    <t>Наименование</t>
  </si>
  <si>
    <t>Единица измерений</t>
  </si>
  <si>
    <t>База 2020г</t>
  </si>
  <si>
    <t>Объем потребления электрической энергии</t>
  </si>
  <si>
    <t>тыс. кВт/час</t>
  </si>
  <si>
    <t>тыс.руб.с НДС</t>
  </si>
  <si>
    <t>№ п/п</t>
  </si>
  <si>
    <t xml:space="preserve">Статья </t>
  </si>
  <si>
    <t>ИТОГО</t>
  </si>
  <si>
    <t>1</t>
  </si>
  <si>
    <t>Плата концедента в т.ч.</t>
  </si>
  <si>
    <t>тыс.руб.</t>
  </si>
  <si>
    <t>1.1.</t>
  </si>
  <si>
    <t>Операционный платеж</t>
  </si>
  <si>
    <t>1.2.</t>
  </si>
  <si>
    <t>Капитальный грант (50% от объектов стр-ва)</t>
  </si>
  <si>
    <t>1.3.</t>
  </si>
  <si>
    <t xml:space="preserve">Инвестиционный платеж </t>
  </si>
  <si>
    <t>1.4.</t>
  </si>
  <si>
    <t>Возмещение затрат на уплату процентов (9%)</t>
  </si>
  <si>
    <t>2</t>
  </si>
  <si>
    <t>Кредиты полученные (всего)</t>
  </si>
  <si>
    <t>3</t>
  </si>
  <si>
    <t>Собственные средства (для выплаты процентов)</t>
  </si>
  <si>
    <t>Услуги банка (комиссия по банковской гарантии)</t>
  </si>
  <si>
    <t>Уилизация ламп по реконструкции</t>
  </si>
  <si>
    <t>Платежи по инвестиционной деятельности (всего)</t>
  </si>
  <si>
    <t>Плата концессионера</t>
  </si>
  <si>
    <t>Расчет стоимости светоточки/час</t>
  </si>
  <si>
    <t>Плата концедента (эксплуатация)</t>
  </si>
  <si>
    <t>Количество светоточек</t>
  </si>
  <si>
    <t>шт.</t>
  </si>
  <si>
    <t>Количество часов горения</t>
  </si>
  <si>
    <t>час.</t>
  </si>
  <si>
    <t>Цена светоточки</t>
  </si>
  <si>
    <t xml:space="preserve">руб./час. </t>
  </si>
  <si>
    <t>Дата выплаты</t>
  </si>
  <si>
    <t>Период, за который производится выплата</t>
  </si>
  <si>
    <t>до 10.07.2021</t>
  </si>
  <si>
    <t>до 10.10.2021</t>
  </si>
  <si>
    <t>III квартал 2021</t>
  </si>
  <si>
    <t>до 15.03.2022</t>
  </si>
  <si>
    <t>IV квартал 2021</t>
  </si>
  <si>
    <t>до 10.04.2022</t>
  </si>
  <si>
    <t>I квартал 2022</t>
  </si>
  <si>
    <t>до 10.07.2022</t>
  </si>
  <si>
    <t>II квартал 2022</t>
  </si>
  <si>
    <t>до 10.10.2022</t>
  </si>
  <si>
    <t>III квартал 2022</t>
  </si>
  <si>
    <t>до 10.12.2022</t>
  </si>
  <si>
    <t>IV квартал 2022</t>
  </si>
  <si>
    <t>до 10.04.2023</t>
  </si>
  <si>
    <t>I квартал 2023</t>
  </si>
  <si>
    <t>до 10.07.2023</t>
  </si>
  <si>
    <t>II квартал 2023</t>
  </si>
  <si>
    <t>до 10.10.2023</t>
  </si>
  <si>
    <t>III квартал 2023</t>
  </si>
  <si>
    <t>до 10.12.2023</t>
  </si>
  <si>
    <t>IV квартал 2023</t>
  </si>
  <si>
    <t>до 10.04.2024</t>
  </si>
  <si>
    <t>I квартал 2024</t>
  </si>
  <si>
    <t>до 10.07.2024</t>
  </si>
  <si>
    <t>II квартал 2024</t>
  </si>
  <si>
    <t>до 10.10.2024</t>
  </si>
  <si>
    <t>III квартал 2024</t>
  </si>
  <si>
    <t>до 10.12.2024</t>
  </si>
  <si>
    <t>IV квартал 2024</t>
  </si>
  <si>
    <t>до 10.04.2025</t>
  </si>
  <si>
    <t>I квартал 2025</t>
  </si>
  <si>
    <t>до 10.07.2025</t>
  </si>
  <si>
    <t>II квартал 2025</t>
  </si>
  <si>
    <t>до 10.10.2025</t>
  </si>
  <si>
    <t>III квартал 2025</t>
  </si>
  <si>
    <t>до 10.12.2025</t>
  </si>
  <si>
    <t>IV квартал 2025</t>
  </si>
  <si>
    <t>до 10.04.2026</t>
  </si>
  <si>
    <t>I квартал 2026</t>
  </si>
  <si>
    <t>до 10.07.2026</t>
  </si>
  <si>
    <t>II квартал 2026</t>
  </si>
  <si>
    <t>до 10.10.2026</t>
  </si>
  <si>
    <t>III квартал 2026</t>
  </si>
  <si>
    <t>до 10.12.2026</t>
  </si>
  <si>
    <t>IV квартал 2026</t>
  </si>
  <si>
    <t>до 10.04.2027</t>
  </si>
  <si>
    <t>I квартал 2027</t>
  </si>
  <si>
    <t>до 10.07.2027</t>
  </si>
  <si>
    <t>II квартал 2027</t>
  </si>
  <si>
    <t>до 10.10.2027</t>
  </si>
  <si>
    <t>III квартал 2027</t>
  </si>
  <si>
    <t>до 10.12.2027</t>
  </si>
  <si>
    <t>IV квартал 2027</t>
  </si>
  <si>
    <t>Итого:</t>
  </si>
  <si>
    <r>
      <t>Доля Капитального Гранта (КГр)</t>
    </r>
    <r>
      <rPr>
        <b/>
        <sz val="10.5"/>
        <color theme="1"/>
        <rFont val="Arial"/>
        <family val="2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рублей с НДС</t>
    </r>
  </si>
  <si>
    <r>
      <t>Доля Инвестиционного платежа (ИП)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рублей, с НДС</t>
    </r>
  </si>
  <si>
    <t>Годовой размер  руб. с НДС</t>
  </si>
  <si>
    <t>в рублях</t>
  </si>
  <si>
    <r>
      <t>Предельный размер Капитального Гранта (КГр)</t>
    </r>
    <r>
      <rPr>
        <b/>
        <sz val="10.5"/>
        <color theme="1"/>
        <rFont val="Arial"/>
        <family val="2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рублей с НДС (99%)</t>
    </r>
  </si>
  <si>
    <r>
      <t>Предельный размер Инвестиционного платежа (ИП)</t>
    </r>
    <r>
      <rPr>
        <b/>
        <sz val="8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рублей, с НДС (99%)</t>
    </r>
  </si>
  <si>
    <t>Предельный годовой размер  руб. с НДС</t>
  </si>
  <si>
    <t>Предельный размер (99% КГ и ИП)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</si>
</sst>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23" x14ac:knownFonts="1"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i/>
      <sz val="8"/>
      <color theme="1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ahoma"/>
      <family val="2"/>
      <charset val="204"/>
    </font>
    <font>
      <b/>
      <sz val="8"/>
      <color theme="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4" fontId="4" fillId="0" borderId="0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1" fillId="0" borderId="1" xfId="2" applyFont="1" applyFill="1" applyBorder="1" applyAlignment="1" applyProtection="1">
      <alignment horizontal="left" vertical="center" wrapText="1"/>
    </xf>
    <xf numFmtId="4" fontId="7" fillId="0" borderId="1" xfId="0" applyNumberFormat="1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2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1" fillId="0" borderId="0" xfId="0" applyFont="1" applyAlignment="1">
      <alignment horizontal="center"/>
    </xf>
    <xf numFmtId="4" fontId="0" fillId="0" borderId="0" xfId="0" applyNumberForma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15" fillId="0" borderId="1" xfId="0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4" fontId="20" fillId="0" borderId="0" xfId="0" applyNumberFormat="1" applyFont="1"/>
    <xf numFmtId="0" fontId="21" fillId="0" borderId="0" xfId="0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2" fillId="0" borderId="0" xfId="0" applyNumberFormat="1" applyFont="1" applyAlignment="1">
      <alignment vertical="center"/>
    </xf>
    <xf numFmtId="4" fontId="21" fillId="0" borderId="0" xfId="0" applyNumberFormat="1" applyFont="1" applyAlignment="1">
      <alignment horizontal="center"/>
    </xf>
  </cellXfs>
  <cellStyles count="3">
    <cellStyle name="Обычный" xfId="0" builtinId="0"/>
    <cellStyle name="Обычный 10" xfId="1"/>
    <cellStyle name="Обычный_Альбом форм от КЦ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54;&#1080;&#1056;&#1048;\&#1053;&#1077;&#1092;&#1090;&#1077;&#1102;&#1075;&#1072;&#1085;&#1089;&#1082;%20&#1059;&#1054;\&#1047;&#1072;&#1084;&#1077;&#1095;&#1072;&#1085;&#1080;&#1103;%20&#1087;&#1086;%20&#1050;&#1057;%20&#1072;&#1076;&#1084;&#1080;&#1085;&#1080;&#1089;&#1090;&#1088;&#1072;&#1094;&#1080;&#1080;\&#1043;&#1091;&#1083;&#1080;&#1076;&#1086;&#1074;&#1072;\&#1052;&#1086;&#1076;&#1077;&#1083;&#1100;%20&#1053;&#1077;&#1092;&#1090;&#1077;&#1102;&#1075;&#1072;&#1085;&#1089;&#1082;%20&#1089;%202021%20(&#1043;&#1088;&#1072;&#1085;&#1090;%2050%25%20&#1086;&#1090;%20&#1086;&#1073;.&#1089;&#1090;&#1088;-&#1074;&#1072;,%20&#1086;&#1089;&#1090;.&#1048;&#1055;%2024-26&#1075;&#1075;%20&#1048;&#1085;&#1074;&#1077;&#1089;&#1090;.204&#1084;&#1083;&#1085;.&#1088;&#1091;&#1073;.100%25)%20-&#1041;&#1043;(5%25+1%25)-9%25%20&#1074;&#1086;&#1079;&#1084;&#1077;&#1097;&#1077;&#1085;&#1080;&#1077;%2013.05.2021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.модель от 28.12.20"/>
      <sheetName val="Модель"/>
      <sheetName val="Операц Нестерова"/>
      <sheetName val="Операц"/>
      <sheetName val="Модель для Адм."/>
      <sheetName val="Расч.модель от 5.02.21"/>
      <sheetName val="тех.данные ПТО"/>
      <sheetName val="ОРЕХ"/>
      <sheetName val="2019-2020гг. НГ МУП &quot;УнивСерв&quot;"/>
      <sheetName val="эл.эн на 2021г Универсал"/>
      <sheetName val="ПК"/>
      <sheetName val="ИП"/>
      <sheetName val="Имущ. Аморт. Налог на им."/>
      <sheetName val="В 10раздел КС"/>
      <sheetName val="кредит помесячно"/>
      <sheetName val="кредит помесячно 9%"/>
      <sheetName val="Модернизация"/>
      <sheetName val="стройка"/>
      <sheetName val="Финансир-е"/>
    </sheetNames>
    <sheetDataSet>
      <sheetData sheetId="0"/>
      <sheetData sheetId="1">
        <row r="89">
          <cell r="F89" t="str">
            <v>2021 с
01.07.2021</v>
          </cell>
          <cell r="U89">
            <v>2036</v>
          </cell>
          <cell r="V89">
            <v>2037</v>
          </cell>
          <cell r="W89">
            <v>2038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7">
          <cell r="U27">
            <v>135426.68108500002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45"/>
  <sheetViews>
    <sheetView tabSelected="1" zoomScale="106" zoomScaleNormal="106" workbookViewId="0">
      <pane xSplit="4" ySplit="10" topLeftCell="O11" activePane="bottomRight" state="frozen"/>
      <selection pane="topRight" activeCell="E1" sqref="E1"/>
      <selection pane="bottomLeft" activeCell="A11" sqref="A11"/>
      <selection pane="bottomRight" activeCell="AA23" sqref="AA23"/>
    </sheetView>
  </sheetViews>
  <sheetFormatPr defaultColWidth="9.140625" defaultRowHeight="10.5" x14ac:dyDescent="0.15"/>
  <cols>
    <col min="1" max="1" width="4.42578125" style="1" customWidth="1"/>
    <col min="2" max="2" width="10" style="1" customWidth="1"/>
    <col min="3" max="3" width="38" style="2" customWidth="1"/>
    <col min="4" max="5" width="10.5703125" style="1" customWidth="1"/>
    <col min="6" max="7" width="11.42578125" style="1" customWidth="1"/>
    <col min="8" max="8" width="11.7109375" style="1" customWidth="1"/>
    <col min="9" max="9" width="12.42578125" style="1" customWidth="1"/>
    <col min="10" max="17" width="11" style="1" customWidth="1"/>
    <col min="18" max="18" width="11.5703125" style="1" customWidth="1"/>
    <col min="19" max="23" width="11.7109375" style="1" customWidth="1"/>
    <col min="24" max="24" width="13.7109375" style="1" customWidth="1"/>
    <col min="25" max="25" width="6.42578125" style="1" customWidth="1"/>
    <col min="26" max="26" width="13.42578125" style="1" bestFit="1" customWidth="1"/>
    <col min="27" max="27" width="18.5703125" style="1" customWidth="1"/>
    <col min="28" max="28" width="9.140625" style="1"/>
    <col min="29" max="29" width="13.28515625" style="1" bestFit="1" customWidth="1"/>
    <col min="30" max="16384" width="9.140625" style="1"/>
  </cols>
  <sheetData>
    <row r="1" spans="2:29" x14ac:dyDescent="0.15">
      <c r="D1" s="3"/>
      <c r="E1" s="3"/>
      <c r="F1" s="4"/>
      <c r="G1" s="5"/>
    </row>
    <row r="2" spans="2:29" ht="18" x14ac:dyDescent="0.25">
      <c r="B2" s="6" t="s">
        <v>0</v>
      </c>
      <c r="R2" s="7"/>
    </row>
    <row r="4" spans="2:29" ht="11.25" customHeight="1" x14ac:dyDescent="0.15">
      <c r="B4" s="8" t="s">
        <v>1</v>
      </c>
      <c r="G4" s="4"/>
      <c r="L4" s="9"/>
    </row>
    <row r="6" spans="2:29" s="7" customFormat="1" ht="21" x14ac:dyDescent="0.15">
      <c r="B6" s="10" t="s">
        <v>2</v>
      </c>
      <c r="C6" s="10" t="s">
        <v>3</v>
      </c>
      <c r="D6" s="10" t="s">
        <v>4</v>
      </c>
      <c r="E6" s="10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2:29" ht="24" customHeight="1" x14ac:dyDescent="0.15">
      <c r="B7" s="11">
        <v>1</v>
      </c>
      <c r="C7" s="12" t="s">
        <v>6</v>
      </c>
      <c r="D7" s="10" t="s">
        <v>7</v>
      </c>
      <c r="E7" s="13">
        <v>3418.0050000000001</v>
      </c>
    </row>
    <row r="8" spans="2:29" x14ac:dyDescent="0.15">
      <c r="Y8" s="66"/>
      <c r="Z8" s="66"/>
      <c r="AA8" s="66"/>
      <c r="AB8" s="66"/>
      <c r="AC8" s="66"/>
    </row>
    <row r="9" spans="2:29" ht="10.5" customHeight="1" x14ac:dyDescent="0.15">
      <c r="B9" s="14"/>
      <c r="C9" s="15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61" t="s">
        <v>8</v>
      </c>
      <c r="U9" s="61"/>
      <c r="V9" s="61"/>
      <c r="W9" s="61"/>
      <c r="X9" s="61"/>
      <c r="Y9" s="66"/>
      <c r="Z9" s="66"/>
      <c r="AA9" s="66"/>
      <c r="AB9" s="66"/>
      <c r="AC9" s="66"/>
    </row>
    <row r="10" spans="2:29" s="18" customFormat="1" ht="21" x14ac:dyDescent="0.25">
      <c r="B10" s="10" t="s">
        <v>9</v>
      </c>
      <c r="C10" s="10" t="s">
        <v>10</v>
      </c>
      <c r="D10" s="10" t="s">
        <v>4</v>
      </c>
      <c r="E10" s="10" t="s">
        <v>5</v>
      </c>
      <c r="F10" s="10" t="str">
        <f>[1]Модель!F89</f>
        <v>2021 с
01.07.2021</v>
      </c>
      <c r="G10" s="11">
        <v>2022</v>
      </c>
      <c r="H10" s="11">
        <f t="shared" ref="H10:T10" si="0">G10+1</f>
        <v>2023</v>
      </c>
      <c r="I10" s="11">
        <f t="shared" si="0"/>
        <v>2024</v>
      </c>
      <c r="J10" s="11">
        <f t="shared" si="0"/>
        <v>2025</v>
      </c>
      <c r="K10" s="11">
        <f t="shared" si="0"/>
        <v>2026</v>
      </c>
      <c r="L10" s="11">
        <f t="shared" si="0"/>
        <v>2027</v>
      </c>
      <c r="M10" s="11">
        <f t="shared" si="0"/>
        <v>2028</v>
      </c>
      <c r="N10" s="11">
        <f t="shared" si="0"/>
        <v>2029</v>
      </c>
      <c r="O10" s="11">
        <f t="shared" si="0"/>
        <v>2030</v>
      </c>
      <c r="P10" s="11">
        <f t="shared" si="0"/>
        <v>2031</v>
      </c>
      <c r="Q10" s="11">
        <f t="shared" si="0"/>
        <v>2032</v>
      </c>
      <c r="R10" s="11">
        <f t="shared" si="0"/>
        <v>2033</v>
      </c>
      <c r="S10" s="11">
        <f t="shared" si="0"/>
        <v>2034</v>
      </c>
      <c r="T10" s="11">
        <f t="shared" si="0"/>
        <v>2035</v>
      </c>
      <c r="U10" s="10">
        <f>[1]Модель!U89</f>
        <v>2036</v>
      </c>
      <c r="V10" s="10">
        <f>[1]Модель!V89</f>
        <v>2037</v>
      </c>
      <c r="W10" s="10">
        <f>[1]Модель!W89</f>
        <v>2038</v>
      </c>
      <c r="X10" s="11" t="s">
        <v>11</v>
      </c>
      <c r="Y10" s="67"/>
      <c r="Z10" s="67" t="s">
        <v>98</v>
      </c>
      <c r="AA10" s="68" t="s">
        <v>102</v>
      </c>
      <c r="AB10" s="67"/>
      <c r="AC10" s="67"/>
    </row>
    <row r="11" spans="2:29" s="18" customFormat="1" ht="19.5" customHeight="1" x14ac:dyDescent="0.25">
      <c r="B11" s="19" t="s">
        <v>12</v>
      </c>
      <c r="C11" s="20" t="s">
        <v>13</v>
      </c>
      <c r="D11" s="21" t="s">
        <v>14</v>
      </c>
      <c r="E11" s="22">
        <f>E12+E13+E14+E15</f>
        <v>43000</v>
      </c>
      <c r="F11" s="22">
        <f t="shared" ref="F11:T11" si="1">F12+F13+F14+F15</f>
        <v>40129.985203517332</v>
      </c>
      <c r="G11" s="22">
        <f t="shared" si="1"/>
        <v>90315.392386275693</v>
      </c>
      <c r="H11" s="22">
        <f t="shared" si="1"/>
        <v>94080.380912823486</v>
      </c>
      <c r="I11" s="22">
        <f>I12+I13+I14+I15</f>
        <v>100414.48316477117</v>
      </c>
      <c r="J11" s="22">
        <f t="shared" si="1"/>
        <v>98453.276630742432</v>
      </c>
      <c r="K11" s="22">
        <f t="shared" si="1"/>
        <v>96525.105730290525</v>
      </c>
      <c r="L11" s="22">
        <f t="shared" si="1"/>
        <v>94619.830563244672</v>
      </c>
      <c r="M11" s="22">
        <f t="shared" si="1"/>
        <v>59463.805430928551</v>
      </c>
      <c r="N11" s="22">
        <f t="shared" si="1"/>
        <v>60653.081539547122</v>
      </c>
      <c r="O11" s="22">
        <f>O12+O13+O14+O15</f>
        <v>61866.143170338073</v>
      </c>
      <c r="P11" s="22">
        <f t="shared" si="1"/>
        <v>63103.466033744829</v>
      </c>
      <c r="Q11" s="22">
        <f t="shared" si="1"/>
        <v>64365.535354419728</v>
      </c>
      <c r="R11" s="22">
        <f t="shared" si="1"/>
        <v>65652.846061508128</v>
      </c>
      <c r="S11" s="22">
        <f t="shared" si="1"/>
        <v>66965.902982738276</v>
      </c>
      <c r="T11" s="22">
        <f t="shared" si="1"/>
        <v>68305.221042393052</v>
      </c>
      <c r="U11" s="22">
        <f>U12+U13+U14+U15</f>
        <v>69671.325463240923</v>
      </c>
      <c r="V11" s="22">
        <f t="shared" ref="V11:W11" si="2">V12+V13+V14+V15</f>
        <v>71064.751972505735</v>
      </c>
      <c r="W11" s="22">
        <f t="shared" si="2"/>
        <v>72486.047011955859</v>
      </c>
      <c r="X11" s="22">
        <f>SUM(F11:W11)</f>
        <v>1338136.5806549857</v>
      </c>
      <c r="Y11" s="67"/>
      <c r="Z11" s="69">
        <f t="shared" ref="Z11:Z16" si="3">ROUND(X11*1000,2)</f>
        <v>1338136580.6500001</v>
      </c>
      <c r="AA11" s="70">
        <f>SUM(AA12:AA15)</f>
        <v>1336088389.64325</v>
      </c>
      <c r="AB11" s="67"/>
      <c r="AC11" s="69"/>
    </row>
    <row r="12" spans="2:29" s="18" customFormat="1" ht="19.5" customHeight="1" x14ac:dyDescent="0.25">
      <c r="B12" s="19" t="s">
        <v>15</v>
      </c>
      <c r="C12" s="23" t="s">
        <v>16</v>
      </c>
      <c r="D12" s="21" t="s">
        <v>14</v>
      </c>
      <c r="E12" s="24">
        <f>E25</f>
        <v>43000</v>
      </c>
      <c r="F12" s="24">
        <f>F25</f>
        <v>24470.596126243359</v>
      </c>
      <c r="G12" s="24">
        <f>G25</f>
        <v>52802.157498552413</v>
      </c>
      <c r="H12" s="24">
        <f t="shared" ref="H12:S12" si="4">H25</f>
        <v>53858.200648523474</v>
      </c>
      <c r="I12" s="24">
        <f>I25</f>
        <v>54935.364661493943</v>
      </c>
      <c r="J12" s="24">
        <f t="shared" si="4"/>
        <v>56034.071954723819</v>
      </c>
      <c r="K12" s="24">
        <f t="shared" si="4"/>
        <v>57154.75339381829</v>
      </c>
      <c r="L12" s="24">
        <f t="shared" si="4"/>
        <v>58297.848461694659</v>
      </c>
      <c r="M12" s="24">
        <f t="shared" si="4"/>
        <v>59463.805430928551</v>
      </c>
      <c r="N12" s="24">
        <f t="shared" si="4"/>
        <v>60653.081539547122</v>
      </c>
      <c r="O12" s="24">
        <f t="shared" si="4"/>
        <v>61866.143170338073</v>
      </c>
      <c r="P12" s="24">
        <f t="shared" si="4"/>
        <v>63103.466033744829</v>
      </c>
      <c r="Q12" s="24">
        <f t="shared" si="4"/>
        <v>64365.535354419728</v>
      </c>
      <c r="R12" s="24">
        <f t="shared" si="4"/>
        <v>65652.846061508128</v>
      </c>
      <c r="S12" s="24">
        <f t="shared" si="4"/>
        <v>66965.902982738276</v>
      </c>
      <c r="T12" s="24">
        <f>T25</f>
        <v>68305.221042393052</v>
      </c>
      <c r="U12" s="24">
        <f>U25</f>
        <v>69671.325463240923</v>
      </c>
      <c r="V12" s="24">
        <f t="shared" ref="V12:W12" si="5">V25</f>
        <v>71064.751972505735</v>
      </c>
      <c r="W12" s="24">
        <f t="shared" si="5"/>
        <v>72486.047011955859</v>
      </c>
      <c r="X12" s="24">
        <f>SUM(F12:W12)</f>
        <v>1081151.1188083703</v>
      </c>
      <c r="Y12" s="69"/>
      <c r="Z12" s="69">
        <f t="shared" si="3"/>
        <v>1081151118.8099999</v>
      </c>
      <c r="AA12" s="70">
        <f>Z12</f>
        <v>1081151118.8099999</v>
      </c>
      <c r="AB12" s="67"/>
      <c r="AC12" s="67"/>
    </row>
    <row r="13" spans="2:29" s="18" customFormat="1" ht="25.5" customHeight="1" x14ac:dyDescent="0.25">
      <c r="B13" s="19" t="s">
        <v>17</v>
      </c>
      <c r="C13" s="23" t="s">
        <v>18</v>
      </c>
      <c r="D13" s="21" t="s">
        <v>14</v>
      </c>
      <c r="E13" s="24"/>
      <c r="F13" s="25">
        <v>13878.484217000003</v>
      </c>
      <c r="G13" s="25">
        <v>27756.968434000006</v>
      </c>
      <c r="H13" s="25">
        <v>27756.968434000006</v>
      </c>
      <c r="I13" s="24">
        <v>0</v>
      </c>
      <c r="J13" s="24">
        <v>0</v>
      </c>
      <c r="K13" s="24"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>
        <f t="shared" ref="X13:X14" si="6">SUM(F13:W13)</f>
        <v>69392.421085000009</v>
      </c>
      <c r="Y13" s="69"/>
      <c r="Z13" s="69">
        <f>ROUND(X13*1000,2)</f>
        <v>69392421.090000004</v>
      </c>
      <c r="AA13" s="70">
        <f>'10 раздел платежи КГиИП'!E29</f>
        <v>68698496.874150008</v>
      </c>
      <c r="AB13" s="67"/>
      <c r="AC13" s="67"/>
    </row>
    <row r="14" spans="2:29" s="18" customFormat="1" ht="19.5" customHeight="1" x14ac:dyDescent="0.25">
      <c r="B14" s="19" t="s">
        <v>19</v>
      </c>
      <c r="C14" s="23" t="s">
        <v>20</v>
      </c>
      <c r="D14" s="21" t="s">
        <v>14</v>
      </c>
      <c r="E14" s="24"/>
      <c r="F14" s="24"/>
      <c r="G14" s="25">
        <v>0</v>
      </c>
      <c r="H14" s="25">
        <v>0</v>
      </c>
      <c r="I14" s="25">
        <v>33856.670271250005</v>
      </c>
      <c r="J14" s="25">
        <v>33856.670271250005</v>
      </c>
      <c r="K14" s="25">
        <v>33856.670271250005</v>
      </c>
      <c r="L14" s="25">
        <v>33856.670271250005</v>
      </c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4">
        <f t="shared" si="6"/>
        <v>135426.68108500002</v>
      </c>
      <c r="Y14" s="69">
        <f>X14-[1]ПК!U27</f>
        <v>0</v>
      </c>
      <c r="Z14" s="69">
        <f t="shared" si="3"/>
        <v>135426681.09</v>
      </c>
      <c r="AA14" s="70">
        <f>'10 раздел платежи КГиИП'!G29</f>
        <v>134072414.27909999</v>
      </c>
      <c r="AB14" s="67"/>
      <c r="AC14" s="67"/>
    </row>
    <row r="15" spans="2:29" s="18" customFormat="1" ht="21.75" customHeight="1" x14ac:dyDescent="0.25">
      <c r="B15" s="19" t="s">
        <v>21</v>
      </c>
      <c r="C15" s="23" t="s">
        <v>22</v>
      </c>
      <c r="D15" s="21" t="s">
        <v>14</v>
      </c>
      <c r="E15" s="24"/>
      <c r="F15" s="24">
        <v>1780.9048602739726</v>
      </c>
      <c r="G15" s="24">
        <v>9756.2664537232849</v>
      </c>
      <c r="H15" s="24">
        <v>12465.211830300001</v>
      </c>
      <c r="I15" s="24">
        <v>11622.44823202722</v>
      </c>
      <c r="J15" s="24">
        <v>8562.5344047686049</v>
      </c>
      <c r="K15" s="24">
        <v>5513.6820652222304</v>
      </c>
      <c r="L15" s="24">
        <v>2465.311830300001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f>SUM(F15:W15)</f>
        <v>52166.35967661532</v>
      </c>
      <c r="Y15" s="69"/>
      <c r="Z15" s="69">
        <f t="shared" si="3"/>
        <v>52166359.68</v>
      </c>
      <c r="AA15" s="70">
        <f>Z15</f>
        <v>52166359.68</v>
      </c>
      <c r="AB15" s="67"/>
      <c r="AC15" s="67"/>
    </row>
    <row r="16" spans="2:29" s="18" customFormat="1" ht="26.25" customHeight="1" x14ac:dyDescent="0.25">
      <c r="B16" s="26" t="s">
        <v>23</v>
      </c>
      <c r="C16" s="20" t="s">
        <v>24</v>
      </c>
      <c r="D16" s="11" t="s">
        <v>14</v>
      </c>
      <c r="E16" s="27"/>
      <c r="F16" s="28">
        <v>74282</v>
      </c>
      <c r="G16" s="28">
        <v>65590</v>
      </c>
      <c r="H16" s="28">
        <v>0</v>
      </c>
      <c r="I16" s="28">
        <v>0</v>
      </c>
      <c r="J16" s="28">
        <v>62647</v>
      </c>
      <c r="K16" s="28">
        <v>0</v>
      </c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>
        <f>SUM(F16:W16)</f>
        <v>202519</v>
      </c>
      <c r="Y16" s="69"/>
      <c r="Z16" s="69">
        <f t="shared" si="3"/>
        <v>202519000</v>
      </c>
      <c r="AA16" s="67"/>
      <c r="AB16" s="67"/>
      <c r="AC16" s="67"/>
    </row>
    <row r="17" spans="2:29" s="18" customFormat="1" ht="24.75" customHeight="1" x14ac:dyDescent="0.25">
      <c r="B17" s="26" t="s">
        <v>25</v>
      </c>
      <c r="C17" s="20" t="s">
        <v>26</v>
      </c>
      <c r="D17" s="11" t="s">
        <v>14</v>
      </c>
      <c r="E17" s="27"/>
      <c r="F17" s="22">
        <v>905.51232780005114</v>
      </c>
      <c r="G17" s="22">
        <v>1807.3404941884585</v>
      </c>
      <c r="H17" s="22">
        <v>1473.5644800413534</v>
      </c>
      <c r="I17" s="22">
        <v>1163.1856190851063</v>
      </c>
      <c r="J17" s="22">
        <v>826.7248023106564</v>
      </c>
      <c r="K17" s="22">
        <v>488.59060990386718</v>
      </c>
      <c r="L17" s="22">
        <v>203.60386845075357</v>
      </c>
      <c r="M17" s="22">
        <v>162.32771908500001</v>
      </c>
      <c r="N17" s="22">
        <v>162.32771908500001</v>
      </c>
      <c r="O17" s="22">
        <v>162.32771908500001</v>
      </c>
      <c r="P17" s="22">
        <v>162.32771908500001</v>
      </c>
      <c r="Q17" s="22">
        <v>162.32771908500001</v>
      </c>
      <c r="R17" s="22">
        <v>162.32771908500001</v>
      </c>
      <c r="S17" s="22">
        <v>162.32771908500001</v>
      </c>
      <c r="T17" s="22">
        <v>162.32771908500001</v>
      </c>
      <c r="U17" s="22">
        <v>162.32771908500001</v>
      </c>
      <c r="V17" s="22">
        <v>162.32771908500001</v>
      </c>
      <c r="W17" s="22">
        <v>1086</v>
      </c>
      <c r="X17" s="22">
        <f>SUM(F17:W17)</f>
        <v>9577.7993926302497</v>
      </c>
      <c r="Y17" s="69"/>
      <c r="Z17" s="69">
        <f>ROUND(X17*1000,2)</f>
        <v>9577799.3900000006</v>
      </c>
      <c r="AA17" s="67"/>
      <c r="AB17" s="67"/>
      <c r="AC17" s="67"/>
    </row>
    <row r="18" spans="2:29" s="31" customFormat="1" ht="21.75" customHeight="1" x14ac:dyDescent="0.25">
      <c r="B18" s="11">
        <v>4</v>
      </c>
      <c r="C18" s="29" t="s">
        <v>27</v>
      </c>
      <c r="D18" s="11" t="s">
        <v>14</v>
      </c>
      <c r="E18" s="27"/>
      <c r="F18" s="30">
        <v>76.745790813750006</v>
      </c>
      <c r="G18" s="30">
        <v>131.05445626187503</v>
      </c>
      <c r="H18" s="30">
        <v>77.007143083750037</v>
      </c>
      <c r="I18" s="30">
        <v>60</v>
      </c>
      <c r="J18" s="30">
        <v>60</v>
      </c>
      <c r="K18" s="30">
        <v>60</v>
      </c>
      <c r="L18" s="30">
        <v>60</v>
      </c>
      <c r="M18" s="30">
        <v>60</v>
      </c>
      <c r="N18" s="30">
        <v>60</v>
      </c>
      <c r="O18" s="30">
        <v>60</v>
      </c>
      <c r="P18" s="30">
        <v>60</v>
      </c>
      <c r="Q18" s="30">
        <v>60</v>
      </c>
      <c r="R18" s="30">
        <v>60</v>
      </c>
      <c r="S18" s="30">
        <v>60</v>
      </c>
      <c r="T18" s="30">
        <v>60</v>
      </c>
      <c r="U18" s="30">
        <v>60</v>
      </c>
      <c r="V18" s="30">
        <v>60</v>
      </c>
      <c r="W18" s="30">
        <v>60</v>
      </c>
      <c r="X18" s="22">
        <f t="shared" ref="X18:X21" si="7">SUM(F18:W18)</f>
        <v>1184.807390159375</v>
      </c>
      <c r="Y18" s="68"/>
      <c r="Z18" s="69">
        <f>ROUND(X18*1000,2)</f>
        <v>1184807.3899999999</v>
      </c>
      <c r="AA18" s="68"/>
      <c r="AB18" s="68"/>
      <c r="AC18" s="68"/>
    </row>
    <row r="19" spans="2:29" s="31" customFormat="1" ht="21.75" customHeight="1" x14ac:dyDescent="0.25">
      <c r="B19" s="11">
        <v>5</v>
      </c>
      <c r="C19" s="27" t="s">
        <v>28</v>
      </c>
      <c r="D19" s="11" t="s">
        <v>14</v>
      </c>
      <c r="E19" s="27"/>
      <c r="F19" s="30"/>
      <c r="G19" s="30">
        <v>163.66</v>
      </c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2">
        <f t="shared" si="7"/>
        <v>163.66</v>
      </c>
      <c r="Y19" s="68"/>
      <c r="Z19" s="69">
        <f>ROUND(X19*1000,2)</f>
        <v>163660</v>
      </c>
      <c r="AA19" s="68"/>
      <c r="AB19" s="68"/>
      <c r="AC19" s="68"/>
    </row>
    <row r="20" spans="2:29" s="18" customFormat="1" ht="30" customHeight="1" x14ac:dyDescent="0.25">
      <c r="B20" s="11">
        <v>6</v>
      </c>
      <c r="C20" s="29" t="s">
        <v>29</v>
      </c>
      <c r="D20" s="11" t="s">
        <v>14</v>
      </c>
      <c r="E20" s="27"/>
      <c r="F20" s="22">
        <v>92744.086500000005</v>
      </c>
      <c r="G20" s="22">
        <v>93403.675670000011</v>
      </c>
      <c r="H20" s="22">
        <v>18671.339999999997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>
        <f>SUM(F20:W20)</f>
        <v>204819.10217</v>
      </c>
      <c r="Y20" s="67"/>
      <c r="Z20" s="69">
        <f>ROUND(X20*1000,2)</f>
        <v>204819102.16999999</v>
      </c>
      <c r="AA20" s="67"/>
      <c r="AB20" s="67"/>
      <c r="AC20" s="67"/>
    </row>
    <row r="21" spans="2:29" s="18" customFormat="1" ht="15" customHeight="1" x14ac:dyDescent="0.25">
      <c r="B21" s="11">
        <v>7</v>
      </c>
      <c r="C21" s="27" t="s">
        <v>30</v>
      </c>
      <c r="D21" s="11" t="s">
        <v>14</v>
      </c>
      <c r="E21" s="27"/>
      <c r="F21" s="22">
        <v>1</v>
      </c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>
        <f t="shared" si="7"/>
        <v>1</v>
      </c>
      <c r="Y21" s="67"/>
      <c r="Z21" s="69">
        <f>ROUND(X21*1000,2)</f>
        <v>1000</v>
      </c>
      <c r="AA21" s="67"/>
      <c r="AB21" s="67"/>
      <c r="AC21" s="67"/>
    </row>
    <row r="22" spans="2:29" s="18" customFormat="1" ht="27" customHeight="1" x14ac:dyDescent="0.25">
      <c r="B22" s="32"/>
      <c r="C22" s="33"/>
      <c r="D22" s="34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69"/>
      <c r="Z22" s="69"/>
      <c r="AA22" s="67"/>
      <c r="AB22" s="67"/>
      <c r="AC22" s="67"/>
    </row>
    <row r="23" spans="2:29" s="18" customFormat="1" ht="22.5" customHeight="1" x14ac:dyDescent="0.25">
      <c r="B23" s="62" t="s">
        <v>31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7"/>
      <c r="Z23" s="69"/>
      <c r="AA23" s="67"/>
      <c r="AB23" s="67"/>
      <c r="AC23" s="67"/>
    </row>
    <row r="24" spans="2:29" ht="31.5" customHeight="1" x14ac:dyDescent="0.15">
      <c r="B24" s="11" t="s">
        <v>9</v>
      </c>
      <c r="C24" s="10" t="s">
        <v>10</v>
      </c>
      <c r="D24" s="10" t="s">
        <v>4</v>
      </c>
      <c r="E24" s="11" t="str">
        <f>E10</f>
        <v>База 2020г</v>
      </c>
      <c r="F24" s="36" t="str">
        <f>F10</f>
        <v>2021 с
01.07.2021</v>
      </c>
      <c r="G24" s="36">
        <v>2022</v>
      </c>
      <c r="H24" s="36">
        <v>2023</v>
      </c>
      <c r="I24" s="36">
        <v>2024</v>
      </c>
      <c r="J24" s="36">
        <v>2025</v>
      </c>
      <c r="K24" s="36">
        <v>2026</v>
      </c>
      <c r="L24" s="36">
        <v>2027</v>
      </c>
      <c r="M24" s="36">
        <v>2028</v>
      </c>
      <c r="N24" s="36">
        <v>2029</v>
      </c>
      <c r="O24" s="36">
        <v>2030</v>
      </c>
      <c r="P24" s="36">
        <v>2031</v>
      </c>
      <c r="Q24" s="36">
        <v>2032</v>
      </c>
      <c r="R24" s="36">
        <v>2033</v>
      </c>
      <c r="S24" s="36">
        <v>2034</v>
      </c>
      <c r="T24" s="36">
        <v>2035</v>
      </c>
      <c r="U24" s="36">
        <f>U10</f>
        <v>2036</v>
      </c>
      <c r="V24" s="36">
        <f t="shared" ref="V24:W24" si="8">V10</f>
        <v>2037</v>
      </c>
      <c r="W24" s="36">
        <f t="shared" si="8"/>
        <v>2038</v>
      </c>
      <c r="X24" s="36" t="s">
        <v>11</v>
      </c>
      <c r="Y24" s="66"/>
      <c r="Z24" s="69"/>
      <c r="AA24" s="66"/>
      <c r="AB24" s="66"/>
      <c r="AC24" s="66"/>
    </row>
    <row r="25" spans="2:29" ht="29.25" customHeight="1" x14ac:dyDescent="0.15">
      <c r="B25" s="21">
        <v>1</v>
      </c>
      <c r="C25" s="37" t="s">
        <v>32</v>
      </c>
      <c r="D25" s="37" t="s">
        <v>14</v>
      </c>
      <c r="E25" s="38">
        <v>43000</v>
      </c>
      <c r="F25" s="38">
        <f>F26*F27*F28*0.001</f>
        <v>24470.596126243359</v>
      </c>
      <c r="G25" s="38">
        <f>G28*G27*G26*0.001</f>
        <v>52802.157498552413</v>
      </c>
      <c r="H25" s="38">
        <f>H28*H27*H26*0.001</f>
        <v>53858.200648523474</v>
      </c>
      <c r="I25" s="38">
        <f>I28*I27*I26*0.001</f>
        <v>54935.364661493943</v>
      </c>
      <c r="J25" s="38">
        <f t="shared" ref="J25:T25" si="9">J28*J27*J26*0.001</f>
        <v>56034.071954723819</v>
      </c>
      <c r="K25" s="38">
        <f t="shared" si="9"/>
        <v>57154.75339381829</v>
      </c>
      <c r="L25" s="38">
        <f t="shared" si="9"/>
        <v>58297.848461694659</v>
      </c>
      <c r="M25" s="38">
        <f t="shared" si="9"/>
        <v>59463.805430928551</v>
      </c>
      <c r="N25" s="38">
        <f t="shared" si="9"/>
        <v>60653.081539547122</v>
      </c>
      <c r="O25" s="38">
        <f t="shared" si="9"/>
        <v>61866.143170338073</v>
      </c>
      <c r="P25" s="38">
        <f t="shared" si="9"/>
        <v>63103.466033744829</v>
      </c>
      <c r="Q25" s="38">
        <f t="shared" si="9"/>
        <v>64365.535354419728</v>
      </c>
      <c r="R25" s="38">
        <f t="shared" si="9"/>
        <v>65652.846061508128</v>
      </c>
      <c r="S25" s="38">
        <f t="shared" si="9"/>
        <v>66965.902982738276</v>
      </c>
      <c r="T25" s="38">
        <f t="shared" si="9"/>
        <v>68305.221042393052</v>
      </c>
      <c r="U25" s="38">
        <f>U28*U27*U26*0.001</f>
        <v>69671.325463240923</v>
      </c>
      <c r="V25" s="38">
        <f t="shared" ref="V25" si="10">V28*V27*V26*0.001</f>
        <v>71064.751972505735</v>
      </c>
      <c r="W25" s="38">
        <f>W28*W27*W26*0.001</f>
        <v>72486.047011955859</v>
      </c>
      <c r="X25" s="22">
        <f>SUM(F25:W25)</f>
        <v>1081151.1188083703</v>
      </c>
      <c r="Y25" s="66"/>
      <c r="Z25" s="69">
        <f>ROUND(X25*1000,2)</f>
        <v>1081151118.8099999</v>
      </c>
      <c r="AA25" s="66"/>
      <c r="AB25" s="66"/>
      <c r="AC25" s="66"/>
    </row>
    <row r="26" spans="2:29" ht="23.25" customHeight="1" x14ac:dyDescent="0.15">
      <c r="B26" s="21">
        <v>2</v>
      </c>
      <c r="C26" s="37" t="s">
        <v>33</v>
      </c>
      <c r="D26" s="21" t="s">
        <v>34</v>
      </c>
      <c r="E26" s="38">
        <v>5181</v>
      </c>
      <c r="F26" s="39">
        <v>5337</v>
      </c>
      <c r="G26" s="39">
        <v>6115</v>
      </c>
      <c r="H26" s="39">
        <f>G26</f>
        <v>6115</v>
      </c>
      <c r="I26" s="39">
        <f>H26</f>
        <v>6115</v>
      </c>
      <c r="J26" s="39">
        <f t="shared" ref="J26:W27" si="11">I26</f>
        <v>6115</v>
      </c>
      <c r="K26" s="39">
        <f t="shared" si="11"/>
        <v>6115</v>
      </c>
      <c r="L26" s="39">
        <f t="shared" si="11"/>
        <v>6115</v>
      </c>
      <c r="M26" s="39">
        <f t="shared" si="11"/>
        <v>6115</v>
      </c>
      <c r="N26" s="39">
        <f t="shared" si="11"/>
        <v>6115</v>
      </c>
      <c r="O26" s="39">
        <f t="shared" si="11"/>
        <v>6115</v>
      </c>
      <c r="P26" s="39">
        <f t="shared" si="11"/>
        <v>6115</v>
      </c>
      <c r="Q26" s="39">
        <f t="shared" si="11"/>
        <v>6115</v>
      </c>
      <c r="R26" s="39">
        <f t="shared" si="11"/>
        <v>6115</v>
      </c>
      <c r="S26" s="39">
        <f t="shared" si="11"/>
        <v>6115</v>
      </c>
      <c r="T26" s="39">
        <f t="shared" si="11"/>
        <v>6115</v>
      </c>
      <c r="U26" s="39">
        <f t="shared" si="11"/>
        <v>6115</v>
      </c>
      <c r="V26" s="39">
        <f t="shared" si="11"/>
        <v>6115</v>
      </c>
      <c r="W26" s="39">
        <f t="shared" si="11"/>
        <v>6115</v>
      </c>
      <c r="X26" s="40"/>
      <c r="Y26" s="66"/>
      <c r="Z26" s="66"/>
      <c r="AA26" s="66"/>
      <c r="AB26" s="66"/>
      <c r="AC26" s="66"/>
    </row>
    <row r="27" spans="2:29" ht="18.75" customHeight="1" x14ac:dyDescent="0.15">
      <c r="B27" s="21">
        <v>3</v>
      </c>
      <c r="C27" s="37" t="s">
        <v>35</v>
      </c>
      <c r="D27" s="21" t="s">
        <v>36</v>
      </c>
      <c r="E27" s="38">
        <v>3861.4</v>
      </c>
      <c r="F27" s="41">
        <v>2091.4</v>
      </c>
      <c r="G27" s="41">
        <v>3861.4</v>
      </c>
      <c r="H27" s="41">
        <f t="shared" ref="H27:I27" si="12">G27</f>
        <v>3861.4</v>
      </c>
      <c r="I27" s="41">
        <f t="shared" si="12"/>
        <v>3861.4</v>
      </c>
      <c r="J27" s="41">
        <f t="shared" si="11"/>
        <v>3861.4</v>
      </c>
      <c r="K27" s="41">
        <f t="shared" si="11"/>
        <v>3861.4</v>
      </c>
      <c r="L27" s="41">
        <f t="shared" si="11"/>
        <v>3861.4</v>
      </c>
      <c r="M27" s="41">
        <f t="shared" si="11"/>
        <v>3861.4</v>
      </c>
      <c r="N27" s="41">
        <f t="shared" si="11"/>
        <v>3861.4</v>
      </c>
      <c r="O27" s="41">
        <f t="shared" si="11"/>
        <v>3861.4</v>
      </c>
      <c r="P27" s="41">
        <f t="shared" si="11"/>
        <v>3861.4</v>
      </c>
      <c r="Q27" s="41">
        <f t="shared" si="11"/>
        <v>3861.4</v>
      </c>
      <c r="R27" s="41">
        <f t="shared" si="11"/>
        <v>3861.4</v>
      </c>
      <c r="S27" s="41">
        <f t="shared" si="11"/>
        <v>3861.4</v>
      </c>
      <c r="T27" s="41">
        <f t="shared" si="11"/>
        <v>3861.4</v>
      </c>
      <c r="U27" s="41">
        <f t="shared" ref="U27" si="13">T27</f>
        <v>3861.4</v>
      </c>
      <c r="V27" s="41">
        <f t="shared" ref="V27" si="14">U27</f>
        <v>3861.4</v>
      </c>
      <c r="W27" s="41">
        <f t="shared" ref="W27" si="15">V27</f>
        <v>3861.4</v>
      </c>
      <c r="X27" s="42"/>
      <c r="Y27" s="66"/>
      <c r="Z27" s="66"/>
      <c r="AA27" s="66"/>
      <c r="AB27" s="66"/>
      <c r="AC27" s="66"/>
    </row>
    <row r="28" spans="2:29" ht="20.25" customHeight="1" x14ac:dyDescent="0.15">
      <c r="B28" s="11">
        <v>4</v>
      </c>
      <c r="C28" s="10" t="s">
        <v>37</v>
      </c>
      <c r="D28" s="10" t="s">
        <v>38</v>
      </c>
      <c r="E28" s="43">
        <f>E25/E26/E27*1000</f>
        <v>2.1493644973990542</v>
      </c>
      <c r="F28" s="44">
        <f>E28*1.02</f>
        <v>2.1923517873470355</v>
      </c>
      <c r="G28" s="45">
        <f>F28*1.02</f>
        <v>2.2361988230939764</v>
      </c>
      <c r="H28" s="45">
        <f t="shared" ref="H28:S28" si="16">G28*1.02</f>
        <v>2.2809227995558561</v>
      </c>
      <c r="I28" s="45">
        <f t="shared" si="16"/>
        <v>2.3265412555469731</v>
      </c>
      <c r="J28" s="45">
        <f t="shared" si="16"/>
        <v>2.3730720806579124</v>
      </c>
      <c r="K28" s="45">
        <f t="shared" si="16"/>
        <v>2.4205335222710707</v>
      </c>
      <c r="L28" s="45">
        <f t="shared" si="16"/>
        <v>2.4689441927164921</v>
      </c>
      <c r="M28" s="45">
        <f t="shared" si="16"/>
        <v>2.5183230765708222</v>
      </c>
      <c r="N28" s="45">
        <f t="shared" si="16"/>
        <v>2.5686895381022388</v>
      </c>
      <c r="O28" s="45">
        <f t="shared" si="16"/>
        <v>2.6200633288642834</v>
      </c>
      <c r="P28" s="45">
        <f t="shared" si="16"/>
        <v>2.6724645954415691</v>
      </c>
      <c r="Q28" s="45">
        <f t="shared" si="16"/>
        <v>2.7259138873504005</v>
      </c>
      <c r="R28" s="45">
        <f>Q28*1.02</f>
        <v>2.7804321650974084</v>
      </c>
      <c r="S28" s="45">
        <f t="shared" si="16"/>
        <v>2.8360408083993565</v>
      </c>
      <c r="T28" s="45">
        <f>S28*1.02</f>
        <v>2.8927616245673438</v>
      </c>
      <c r="U28" s="45">
        <f>T28*1.02</f>
        <v>2.9506168570586908</v>
      </c>
      <c r="V28" s="45">
        <f t="shared" ref="V28:W28" si="17">U28*1.02</f>
        <v>3.0096291941998645</v>
      </c>
      <c r="W28" s="45">
        <f t="shared" si="17"/>
        <v>3.0698217780838619</v>
      </c>
      <c r="X28" s="42"/>
      <c r="Y28" s="66"/>
      <c r="Z28" s="66"/>
      <c r="AA28" s="66"/>
      <c r="AB28" s="66"/>
      <c r="AC28" s="66"/>
    </row>
    <row r="29" spans="2:29" x14ac:dyDescent="0.15">
      <c r="Y29" s="66"/>
      <c r="Z29" s="66"/>
      <c r="AA29" s="66"/>
      <c r="AB29" s="66"/>
      <c r="AC29" s="66"/>
    </row>
    <row r="30" spans="2:29" ht="34.5" customHeight="1" x14ac:dyDescent="0.15"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Y30" s="66"/>
      <c r="Z30" s="66"/>
      <c r="AA30" s="66"/>
      <c r="AB30" s="66"/>
      <c r="AC30" s="66"/>
    </row>
    <row r="31" spans="2:29" ht="24" customHeight="1" x14ac:dyDescent="0.15"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6"/>
      <c r="Z31" s="66"/>
      <c r="AA31" s="66"/>
      <c r="AB31" s="66"/>
      <c r="AC31" s="66"/>
    </row>
    <row r="32" spans="2:29" x14ac:dyDescent="0.15">
      <c r="Y32" s="66"/>
      <c r="Z32" s="66"/>
      <c r="AA32" s="66"/>
      <c r="AB32" s="66"/>
      <c r="AC32" s="66"/>
    </row>
    <row r="33" spans="1:29" ht="33.75" customHeight="1" x14ac:dyDescent="0.2">
      <c r="A33" s="47"/>
      <c r="B33" s="47"/>
      <c r="C33" s="47"/>
      <c r="D33" s="47"/>
      <c r="E33" s="47"/>
      <c r="F33" s="56">
        <f>F25*1000</f>
        <v>24470596.12624336</v>
      </c>
      <c r="G33" s="56">
        <f t="shared" ref="G33:W33" si="18">G25*1000</f>
        <v>52802157.498552412</v>
      </c>
      <c r="H33" s="56">
        <f t="shared" si="18"/>
        <v>53858200.648523472</v>
      </c>
      <c r="I33" s="56">
        <f t="shared" si="18"/>
        <v>54935364.661493942</v>
      </c>
      <c r="J33" s="56">
        <f t="shared" si="18"/>
        <v>56034071.95472382</v>
      </c>
      <c r="K33" s="56">
        <f t="shared" si="18"/>
        <v>57154753.393818289</v>
      </c>
      <c r="L33" s="56">
        <f t="shared" si="18"/>
        <v>58297848.461694658</v>
      </c>
      <c r="M33" s="56">
        <f t="shared" si="18"/>
        <v>59463805.430928551</v>
      </c>
      <c r="N33" s="56">
        <f t="shared" si="18"/>
        <v>60653081.539547123</v>
      </c>
      <c r="O33" s="71">
        <f t="shared" si="18"/>
        <v>61866143.170338072</v>
      </c>
      <c r="P33" s="71">
        <f t="shared" si="18"/>
        <v>63103466.033744827</v>
      </c>
      <c r="Q33" s="71">
        <f t="shared" si="18"/>
        <v>64365535.354419731</v>
      </c>
      <c r="R33" s="71">
        <f t="shared" si="18"/>
        <v>65652846.061508127</v>
      </c>
      <c r="S33" s="71">
        <f t="shared" si="18"/>
        <v>66965902.982738279</v>
      </c>
      <c r="T33" s="71">
        <f t="shared" si="18"/>
        <v>68305221.042393059</v>
      </c>
      <c r="U33" s="71">
        <f t="shared" si="18"/>
        <v>69671325.463240921</v>
      </c>
      <c r="V33" s="71">
        <f t="shared" si="18"/>
        <v>71064751.972505733</v>
      </c>
      <c r="W33" s="71">
        <f t="shared" si="18"/>
        <v>72486047.011955857</v>
      </c>
      <c r="X33" s="71">
        <f>SUM(F33:W33)</f>
        <v>1081151118.8083704</v>
      </c>
      <c r="Y33" s="66"/>
      <c r="Z33" s="66"/>
      <c r="AA33" s="66"/>
      <c r="AB33" s="66"/>
      <c r="AC33" s="66"/>
    </row>
    <row r="34" spans="1:29" x14ac:dyDescent="0.15"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</row>
    <row r="35" spans="1:29" x14ac:dyDescent="0.15"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</row>
    <row r="36" spans="1:29" x14ac:dyDescent="0.15"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</row>
    <row r="37" spans="1:29" x14ac:dyDescent="0.15"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</row>
    <row r="38" spans="1:29" x14ac:dyDescent="0.15"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</row>
    <row r="39" spans="1:29" x14ac:dyDescent="0.15">
      <c r="Y39" s="66"/>
      <c r="Z39" s="66"/>
      <c r="AA39" s="66"/>
      <c r="AB39" s="66"/>
      <c r="AC39" s="66"/>
    </row>
    <row r="40" spans="1:29" x14ac:dyDescent="0.15">
      <c r="Y40" s="66"/>
      <c r="Z40" s="66"/>
      <c r="AA40" s="66"/>
      <c r="AB40" s="66"/>
      <c r="AC40" s="66"/>
    </row>
    <row r="41" spans="1:29" x14ac:dyDescent="0.15">
      <c r="Y41" s="66"/>
      <c r="Z41" s="66"/>
      <c r="AA41" s="66"/>
      <c r="AB41" s="66"/>
      <c r="AC41" s="66"/>
    </row>
    <row r="42" spans="1:29" x14ac:dyDescent="0.15">
      <c r="Y42" s="66"/>
      <c r="Z42" s="66"/>
      <c r="AA42" s="66"/>
      <c r="AB42" s="66"/>
      <c r="AC42" s="66"/>
    </row>
    <row r="43" spans="1:29" x14ac:dyDescent="0.15">
      <c r="Y43" s="66"/>
      <c r="Z43" s="66"/>
      <c r="AA43" s="66"/>
      <c r="AB43" s="66"/>
      <c r="AC43" s="66"/>
    </row>
    <row r="44" spans="1:29" x14ac:dyDescent="0.15">
      <c r="Y44" s="66"/>
      <c r="Z44" s="66"/>
      <c r="AA44" s="66"/>
      <c r="AB44" s="66"/>
      <c r="AC44" s="66"/>
    </row>
    <row r="45" spans="1:29" x14ac:dyDescent="0.15">
      <c r="Y45" s="66"/>
      <c r="Z45" s="66"/>
      <c r="AA45" s="66"/>
      <c r="AB45" s="66"/>
      <c r="AC45" s="66"/>
    </row>
  </sheetData>
  <mergeCells count="3">
    <mergeCell ref="T9:X9"/>
    <mergeCell ref="B23:X23"/>
    <mergeCell ref="B31:X31"/>
  </mergeCells>
  <printOptions horizontalCentered="1"/>
  <pageMargins left="0.31496062992125984" right="0.31496062992125984" top="0.55118110236220474" bottom="0.35433070866141736" header="0" footer="0"/>
  <pageSetup paperSize="9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"/>
  <sheetViews>
    <sheetView view="pageBreakPreview" zoomScaleNormal="100" zoomScaleSheetLayoutView="100" workbookViewId="0">
      <selection activeCell="M26" sqref="M26"/>
    </sheetView>
  </sheetViews>
  <sheetFormatPr defaultRowHeight="15" x14ac:dyDescent="0.25"/>
  <cols>
    <col min="2" max="2" width="13.42578125" customWidth="1"/>
    <col min="3" max="3" width="14.7109375" customWidth="1"/>
    <col min="4" max="4" width="13.5703125" customWidth="1"/>
    <col min="5" max="5" width="13.140625" customWidth="1"/>
    <col min="6" max="6" width="13" customWidth="1"/>
    <col min="7" max="7" width="15.7109375" customWidth="1"/>
    <col min="8" max="8" width="14.5703125" customWidth="1"/>
    <col min="9" max="9" width="14.28515625" customWidth="1"/>
    <col min="11" max="11" width="13.5703125" bestFit="1" customWidth="1"/>
  </cols>
  <sheetData>
    <row r="1" spans="2:9" ht="77.25" x14ac:dyDescent="0.25">
      <c r="B1" s="59" t="s">
        <v>39</v>
      </c>
      <c r="C1" s="59" t="s">
        <v>40</v>
      </c>
      <c r="D1" s="59" t="s">
        <v>95</v>
      </c>
      <c r="E1" s="59" t="s">
        <v>99</v>
      </c>
      <c r="F1" s="59" t="s">
        <v>96</v>
      </c>
      <c r="G1" s="59" t="s">
        <v>100</v>
      </c>
      <c r="H1" s="59" t="s">
        <v>97</v>
      </c>
      <c r="I1" s="59" t="s">
        <v>101</v>
      </c>
    </row>
    <row r="2" spans="2:9" x14ac:dyDescent="0.25">
      <c r="B2" s="49" t="s">
        <v>41</v>
      </c>
      <c r="C2" s="49"/>
      <c r="D2" s="49"/>
      <c r="E2" s="49"/>
      <c r="F2" s="49"/>
      <c r="G2" s="49"/>
      <c r="H2" s="49"/>
      <c r="I2" s="49"/>
    </row>
    <row r="3" spans="2:9" x14ac:dyDescent="0.25">
      <c r="B3" s="49" t="s">
        <v>42</v>
      </c>
      <c r="C3" s="49" t="s">
        <v>43</v>
      </c>
      <c r="D3" s="55">
        <v>13878484.217000002</v>
      </c>
      <c r="E3" s="55">
        <f>D3*0.99</f>
        <v>13739699.374830002</v>
      </c>
      <c r="F3" s="57"/>
      <c r="G3" s="57"/>
      <c r="H3" s="57">
        <f>D3</f>
        <v>13878484.217000002</v>
      </c>
      <c r="I3" s="57">
        <f>E3</f>
        <v>13739699.374830002</v>
      </c>
    </row>
    <row r="4" spans="2:9" x14ac:dyDescent="0.25">
      <c r="B4" s="50" t="s">
        <v>44</v>
      </c>
      <c r="C4" s="50" t="s">
        <v>45</v>
      </c>
      <c r="D4" s="53"/>
      <c r="E4" s="55"/>
      <c r="F4" s="51"/>
      <c r="G4" s="51"/>
      <c r="H4" s="51"/>
      <c r="I4" s="51"/>
    </row>
    <row r="5" spans="2:9" x14ac:dyDescent="0.25">
      <c r="B5" s="50" t="s">
        <v>46</v>
      </c>
      <c r="C5" s="50" t="s">
        <v>47</v>
      </c>
      <c r="D5" s="53">
        <v>13878484.217000002</v>
      </c>
      <c r="E5" s="55">
        <f t="shared" ref="E5:E11" si="0">D5*0.99</f>
        <v>13739699.374830002</v>
      </c>
      <c r="F5" s="58"/>
      <c r="G5" s="58"/>
      <c r="H5" s="51"/>
      <c r="I5" s="51"/>
    </row>
    <row r="6" spans="2:9" x14ac:dyDescent="0.25">
      <c r="B6" s="50" t="s">
        <v>48</v>
      </c>
      <c r="C6" s="50" t="s">
        <v>49</v>
      </c>
      <c r="D6" s="53"/>
      <c r="E6" s="55"/>
      <c r="F6" s="51"/>
      <c r="G6" s="51"/>
      <c r="H6" s="51"/>
      <c r="I6" s="51"/>
    </row>
    <row r="7" spans="2:9" x14ac:dyDescent="0.25">
      <c r="B7" s="50" t="s">
        <v>50</v>
      </c>
      <c r="C7" s="49" t="s">
        <v>51</v>
      </c>
      <c r="D7" s="53">
        <v>13878484.217000002</v>
      </c>
      <c r="E7" s="55">
        <f t="shared" si="0"/>
        <v>13739699.374830002</v>
      </c>
      <c r="F7" s="58"/>
      <c r="G7" s="58"/>
      <c r="H7" s="51"/>
      <c r="I7" s="51"/>
    </row>
    <row r="8" spans="2:9" x14ac:dyDescent="0.25">
      <c r="B8" s="50" t="s">
        <v>52</v>
      </c>
      <c r="C8" s="50" t="s">
        <v>53</v>
      </c>
      <c r="D8" s="53"/>
      <c r="E8" s="55"/>
      <c r="F8" s="58"/>
      <c r="G8" s="58"/>
      <c r="H8" s="51">
        <f>D4+D8+D7+D5+D6</f>
        <v>27756968.434000004</v>
      </c>
      <c r="I8" s="51">
        <f>E4+E8+E7+E5+E6</f>
        <v>27479398.749660004</v>
      </c>
    </row>
    <row r="9" spans="2:9" x14ac:dyDescent="0.25">
      <c r="B9" s="50" t="s">
        <v>54</v>
      </c>
      <c r="C9" s="50" t="s">
        <v>55</v>
      </c>
      <c r="D9" s="53">
        <v>13878484.217000002</v>
      </c>
      <c r="E9" s="55">
        <f t="shared" si="0"/>
        <v>13739699.374830002</v>
      </c>
      <c r="F9" s="58"/>
      <c r="G9" s="58"/>
      <c r="H9" s="51"/>
      <c r="I9" s="51"/>
    </row>
    <row r="10" spans="2:9" x14ac:dyDescent="0.25">
      <c r="B10" s="50" t="s">
        <v>56</v>
      </c>
      <c r="C10" s="50" t="s">
        <v>57</v>
      </c>
      <c r="D10" s="53"/>
      <c r="E10" s="55"/>
      <c r="F10" s="58"/>
      <c r="G10" s="58"/>
      <c r="H10" s="51"/>
      <c r="I10" s="51"/>
    </row>
    <row r="11" spans="2:9" x14ac:dyDescent="0.25">
      <c r="B11" s="50" t="s">
        <v>58</v>
      </c>
      <c r="C11" s="49" t="s">
        <v>59</v>
      </c>
      <c r="D11" s="53">
        <v>13878484.217000002</v>
      </c>
      <c r="E11" s="55">
        <f t="shared" si="0"/>
        <v>13739699.374830002</v>
      </c>
      <c r="F11" s="58"/>
      <c r="G11" s="58"/>
      <c r="H11" s="51"/>
      <c r="I11" s="51"/>
    </row>
    <row r="12" spans="2:9" x14ac:dyDescent="0.25">
      <c r="B12" s="50" t="s">
        <v>60</v>
      </c>
      <c r="C12" s="50" t="s">
        <v>61</v>
      </c>
      <c r="D12" s="53"/>
      <c r="E12" s="53"/>
      <c r="F12" s="58"/>
      <c r="G12" s="58"/>
      <c r="H12" s="51">
        <f>D12+D11+D10+D9</f>
        <v>27756968.434000004</v>
      </c>
      <c r="I12" s="51">
        <f>E12+E11+E10+E9</f>
        <v>27479398.749660004</v>
      </c>
    </row>
    <row r="13" spans="2:9" x14ac:dyDescent="0.25">
      <c r="B13" s="52" t="s">
        <v>62</v>
      </c>
      <c r="C13" s="52" t="s">
        <v>63</v>
      </c>
      <c r="D13" s="53"/>
      <c r="E13" s="53"/>
      <c r="F13" s="53">
        <v>8464167.5700000003</v>
      </c>
      <c r="G13" s="53">
        <f>F13*0.99</f>
        <v>8379525.8942999998</v>
      </c>
      <c r="H13" s="51"/>
      <c r="I13" s="51"/>
    </row>
    <row r="14" spans="2:9" x14ac:dyDescent="0.25">
      <c r="B14" s="52" t="s">
        <v>64</v>
      </c>
      <c r="C14" s="52" t="s">
        <v>65</v>
      </c>
      <c r="D14" s="53"/>
      <c r="E14" s="53"/>
      <c r="F14" s="53">
        <v>8464167.5700000003</v>
      </c>
      <c r="G14" s="53">
        <f t="shared" ref="G14:G28" si="1">F14*0.99</f>
        <v>8379525.8942999998</v>
      </c>
      <c r="H14" s="51"/>
      <c r="I14" s="51"/>
    </row>
    <row r="15" spans="2:9" x14ac:dyDescent="0.25">
      <c r="B15" s="52" t="s">
        <v>66</v>
      </c>
      <c r="C15" s="54" t="s">
        <v>67</v>
      </c>
      <c r="D15" s="53"/>
      <c r="E15" s="53"/>
      <c r="F15" s="53">
        <v>8464167.5700000003</v>
      </c>
      <c r="G15" s="53">
        <f t="shared" si="1"/>
        <v>8379525.8942999998</v>
      </c>
      <c r="H15" s="51"/>
      <c r="I15" s="51"/>
    </row>
    <row r="16" spans="2:9" x14ac:dyDescent="0.25">
      <c r="B16" s="52" t="s">
        <v>68</v>
      </c>
      <c r="C16" s="52" t="s">
        <v>69</v>
      </c>
      <c r="D16" s="53"/>
      <c r="E16" s="53"/>
      <c r="F16" s="53">
        <v>8464167.5600000005</v>
      </c>
      <c r="G16" s="53">
        <f t="shared" si="1"/>
        <v>8379525.8844000008</v>
      </c>
      <c r="H16" s="51">
        <f>F16+F15+F14+F13</f>
        <v>33856670.270000003</v>
      </c>
      <c r="I16" s="51">
        <f>G16+G15+G14+G13</f>
        <v>33518103.567299999</v>
      </c>
    </row>
    <row r="17" spans="2:11" x14ac:dyDescent="0.25">
      <c r="B17" s="50" t="s">
        <v>70</v>
      </c>
      <c r="C17" s="50" t="s">
        <v>71</v>
      </c>
      <c r="D17" s="51"/>
      <c r="E17" s="51"/>
      <c r="F17" s="51">
        <v>8464167.5700000003</v>
      </c>
      <c r="G17" s="53">
        <f t="shared" si="1"/>
        <v>8379525.8942999998</v>
      </c>
      <c r="H17" s="51"/>
      <c r="I17" s="51"/>
    </row>
    <row r="18" spans="2:11" x14ac:dyDescent="0.25">
      <c r="B18" s="50" t="s">
        <v>72</v>
      </c>
      <c r="C18" s="50" t="s">
        <v>73</v>
      </c>
      <c r="D18" s="51"/>
      <c r="E18" s="51"/>
      <c r="F18" s="51">
        <v>8464167.5700000003</v>
      </c>
      <c r="G18" s="53">
        <f t="shared" si="1"/>
        <v>8379525.8942999998</v>
      </c>
      <c r="H18" s="51"/>
      <c r="I18" s="51"/>
    </row>
    <row r="19" spans="2:11" x14ac:dyDescent="0.25">
      <c r="B19" s="50" t="s">
        <v>74</v>
      </c>
      <c r="C19" s="49" t="s">
        <v>75</v>
      </c>
      <c r="D19" s="51"/>
      <c r="E19" s="51"/>
      <c r="F19" s="51">
        <v>8464167.5700000003</v>
      </c>
      <c r="G19" s="53">
        <f t="shared" si="1"/>
        <v>8379525.8942999998</v>
      </c>
      <c r="H19" s="51"/>
      <c r="I19" s="51"/>
    </row>
    <row r="20" spans="2:11" x14ac:dyDescent="0.25">
      <c r="B20" s="50" t="s">
        <v>76</v>
      </c>
      <c r="C20" s="50" t="s">
        <v>77</v>
      </c>
      <c r="D20" s="51"/>
      <c r="E20" s="51"/>
      <c r="F20" s="51">
        <v>8464167.5600000005</v>
      </c>
      <c r="G20" s="53">
        <f t="shared" si="1"/>
        <v>8379525.8844000008</v>
      </c>
      <c r="H20" s="51">
        <f>F20+F19+F18+F17</f>
        <v>33856670.270000003</v>
      </c>
      <c r="I20" s="51">
        <f>G20+G19+G18+G17</f>
        <v>33518103.567299999</v>
      </c>
    </row>
    <row r="21" spans="2:11" x14ac:dyDescent="0.25">
      <c r="B21" s="50" t="s">
        <v>78</v>
      </c>
      <c r="C21" s="50" t="s">
        <v>79</v>
      </c>
      <c r="D21" s="51"/>
      <c r="E21" s="51"/>
      <c r="F21" s="51">
        <v>8464167.5700000003</v>
      </c>
      <c r="G21" s="53">
        <f t="shared" si="1"/>
        <v>8379525.8942999998</v>
      </c>
      <c r="H21" s="51"/>
      <c r="I21" s="51"/>
    </row>
    <row r="22" spans="2:11" x14ac:dyDescent="0.25">
      <c r="B22" s="50" t="s">
        <v>80</v>
      </c>
      <c r="C22" s="50" t="s">
        <v>81</v>
      </c>
      <c r="D22" s="51"/>
      <c r="E22" s="51"/>
      <c r="F22" s="51">
        <v>8464167.5700000003</v>
      </c>
      <c r="G22" s="53">
        <f t="shared" si="1"/>
        <v>8379525.8942999998</v>
      </c>
      <c r="H22" s="51"/>
      <c r="I22" s="51"/>
    </row>
    <row r="23" spans="2:11" x14ac:dyDescent="0.25">
      <c r="B23" s="50" t="s">
        <v>82</v>
      </c>
      <c r="C23" s="49" t="s">
        <v>83</v>
      </c>
      <c r="D23" s="51"/>
      <c r="E23" s="51"/>
      <c r="F23" s="51">
        <v>8464167.5700000003</v>
      </c>
      <c r="G23" s="53">
        <f t="shared" si="1"/>
        <v>8379525.8942999998</v>
      </c>
      <c r="H23" s="51"/>
      <c r="I23" s="51"/>
    </row>
    <row r="24" spans="2:11" x14ac:dyDescent="0.25">
      <c r="B24" s="50" t="s">
        <v>84</v>
      </c>
      <c r="C24" s="50" t="s">
        <v>85</v>
      </c>
      <c r="D24" s="51"/>
      <c r="E24" s="51"/>
      <c r="F24" s="51">
        <v>8464167.5600000005</v>
      </c>
      <c r="G24" s="53">
        <f t="shared" si="1"/>
        <v>8379525.8844000008</v>
      </c>
      <c r="H24" s="51">
        <f>F24+F23+F22+F21</f>
        <v>33856670.270000003</v>
      </c>
      <c r="I24" s="51">
        <f>G24+G23+G22+G21</f>
        <v>33518103.567299999</v>
      </c>
    </row>
    <row r="25" spans="2:11" x14ac:dyDescent="0.25">
      <c r="B25" s="50" t="s">
        <v>86</v>
      </c>
      <c r="C25" s="50" t="s">
        <v>87</v>
      </c>
      <c r="D25" s="51"/>
      <c r="E25" s="51"/>
      <c r="F25" s="51">
        <v>8464167.5700000003</v>
      </c>
      <c r="G25" s="53">
        <f t="shared" si="1"/>
        <v>8379525.8942999998</v>
      </c>
      <c r="H25" s="51"/>
      <c r="I25" s="51"/>
    </row>
    <row r="26" spans="2:11" x14ac:dyDescent="0.25">
      <c r="B26" s="50" t="s">
        <v>88</v>
      </c>
      <c r="C26" s="50" t="s">
        <v>89</v>
      </c>
      <c r="D26" s="51"/>
      <c r="E26" s="51"/>
      <c r="F26" s="51">
        <v>8464167.5700000003</v>
      </c>
      <c r="G26" s="53">
        <f t="shared" si="1"/>
        <v>8379525.8942999998</v>
      </c>
      <c r="H26" s="51"/>
      <c r="I26" s="51"/>
    </row>
    <row r="27" spans="2:11" x14ac:dyDescent="0.25">
      <c r="B27" s="50" t="s">
        <v>90</v>
      </c>
      <c r="C27" s="49" t="s">
        <v>91</v>
      </c>
      <c r="D27" s="51"/>
      <c r="E27" s="51"/>
      <c r="F27" s="51">
        <v>8464167.5700000003</v>
      </c>
      <c r="G27" s="53">
        <f t="shared" si="1"/>
        <v>8379525.8942999998</v>
      </c>
      <c r="H27" s="51"/>
      <c r="I27" s="51"/>
    </row>
    <row r="28" spans="2:11" x14ac:dyDescent="0.25">
      <c r="B28" s="50" t="s">
        <v>92</v>
      </c>
      <c r="C28" s="50" t="s">
        <v>93</v>
      </c>
      <c r="D28" s="51"/>
      <c r="E28" s="51"/>
      <c r="F28" s="51">
        <v>8464167.5700000003</v>
      </c>
      <c r="G28" s="53">
        <f t="shared" si="1"/>
        <v>8379525.8942999998</v>
      </c>
      <c r="H28" s="51">
        <f>F28+F27+F26+F25</f>
        <v>33856670.280000001</v>
      </c>
      <c r="I28" s="51">
        <f>G28+G27+G26+G25</f>
        <v>33518103.577199999</v>
      </c>
    </row>
    <row r="29" spans="2:11" ht="15.75" x14ac:dyDescent="0.25">
      <c r="B29" s="64" t="s">
        <v>94</v>
      </c>
      <c r="C29" s="64"/>
      <c r="D29" s="60">
        <f>SUM(D3:D28)</f>
        <v>69392421.085000008</v>
      </c>
      <c r="E29" s="60">
        <f>SUM(E3:E28)</f>
        <v>68698496.874150008</v>
      </c>
      <c r="F29" s="60">
        <f>SUM(F3:F28)</f>
        <v>135426681.08999997</v>
      </c>
      <c r="G29" s="60">
        <f>SUM(G3:G28)</f>
        <v>134072414.27909999</v>
      </c>
      <c r="H29" s="60">
        <f>H28+H24+H20+H16+H12+H8+H3</f>
        <v>204819102.17500007</v>
      </c>
      <c r="I29" s="60">
        <f>I28+I24+I20+I16+I12+I8+I3</f>
        <v>202770911.15325004</v>
      </c>
      <c r="K29" s="65"/>
    </row>
    <row r="30" spans="2:11" x14ac:dyDescent="0.25">
      <c r="D30" s="48">
        <f>D29-Модель!Z13</f>
        <v>-4.999995231628418E-3</v>
      </c>
      <c r="E30" s="48"/>
      <c r="F30" s="48">
        <f>F29-Модель!Z14</f>
        <v>0</v>
      </c>
      <c r="G30" s="48"/>
    </row>
  </sheetData>
  <mergeCells count="1">
    <mergeCell ref="B29:C2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Модель</vt:lpstr>
      <vt:lpstr>10 раздел платежи КГиИП</vt:lpstr>
      <vt:lpstr>'10 раздел платежи КГиИП'!Область_печати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Гулидова Ольга Владимировна</dc:creator>
  <cp:lastModifiedBy>Корикова Наталия Валерьевна</cp:lastModifiedBy>
  <cp:lastPrinted>2021-05-18T08:14:49Z</cp:lastPrinted>
  <dcterms:created xsi:type="dcterms:W3CDTF">2021-05-13T11:26:38Z</dcterms:created>
  <dcterms:modified xsi:type="dcterms:W3CDTF">2021-05-26T04:25:58Z</dcterms:modified>
</cp:coreProperties>
</file>