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33.9\общие папки\OCЭПП\ИТОГИ\2024\1 полугодие\На сайт предварительные итоги социально-экономического развития за январь-июнь 2024 года\"/>
    </mc:Choice>
  </mc:AlternateContent>
  <bookViews>
    <workbookView xWindow="0" yWindow="0" windowWidth="5370" windowHeight="1050"/>
  </bookViews>
  <sheets>
    <sheet name="Лист1" sheetId="1" r:id="rId1"/>
  </sheets>
  <definedNames>
    <definedName name="Print_Titles" localSheetId="0">Лист1!$6:$6</definedName>
    <definedName name="_xlnm.Print_Titles" localSheetId="0">Лист1!$6:$6</definedName>
    <definedName name="_xlnm.Print_Area" localSheetId="0">Лист1!$A$1:$P$116</definedName>
  </definedNames>
  <calcPr calcId="162913"/>
</workbook>
</file>

<file path=xl/calcChain.xml><?xml version="1.0" encoding="utf-8"?>
<calcChain xmlns="http://schemas.openxmlformats.org/spreadsheetml/2006/main">
  <c r="O106" i="1" l="1"/>
  <c r="M106" i="1"/>
  <c r="H105" i="1"/>
  <c r="N105" i="1"/>
  <c r="P105" i="1"/>
  <c r="I106" i="1" l="1"/>
  <c r="J105" i="1"/>
  <c r="E106" i="1"/>
  <c r="F105" i="1"/>
  <c r="K106" i="1"/>
  <c r="G106" i="1"/>
  <c r="N94" i="1"/>
  <c r="L94" i="1"/>
  <c r="J94" i="1"/>
  <c r="P92" i="1"/>
  <c r="N92" i="1"/>
  <c r="L92" i="1"/>
  <c r="J92" i="1"/>
  <c r="P91" i="1"/>
  <c r="N91" i="1"/>
  <c r="L91" i="1"/>
  <c r="J91" i="1"/>
  <c r="P90" i="1"/>
  <c r="N90" i="1"/>
  <c r="L90" i="1"/>
  <c r="J90" i="1"/>
  <c r="P89" i="1"/>
  <c r="N89" i="1"/>
  <c r="L89" i="1"/>
  <c r="J89" i="1"/>
  <c r="P88" i="1"/>
  <c r="N88" i="1"/>
  <c r="L88" i="1"/>
  <c r="J88" i="1"/>
  <c r="J116" i="1" l="1"/>
  <c r="N116" i="1"/>
  <c r="F116" i="1"/>
  <c r="P116" i="1"/>
  <c r="L116" i="1"/>
  <c r="H115" i="1" l="1"/>
  <c r="J115" i="1"/>
  <c r="N115" i="1"/>
  <c r="P115" i="1"/>
  <c r="L115" i="1"/>
  <c r="O114" i="1"/>
  <c r="K114" i="1"/>
  <c r="I114" i="1"/>
  <c r="G114" i="1"/>
  <c r="E114" i="1"/>
  <c r="F113" i="1"/>
  <c r="H113" i="1"/>
  <c r="J113" i="1"/>
  <c r="P113" i="1"/>
  <c r="N113" i="1"/>
  <c r="L113" i="1"/>
  <c r="N112" i="1"/>
  <c r="N111" i="1"/>
  <c r="J112" i="1"/>
  <c r="J111" i="1"/>
  <c r="F112" i="1"/>
  <c r="F111" i="1"/>
  <c r="H112" i="1"/>
  <c r="H111" i="1"/>
  <c r="L112" i="1"/>
  <c r="L111" i="1"/>
  <c r="P112" i="1"/>
  <c r="P111" i="1"/>
  <c r="N99" i="1"/>
  <c r="L99" i="1"/>
  <c r="J99" i="1"/>
  <c r="N98" i="1"/>
  <c r="L98" i="1"/>
  <c r="J98" i="1"/>
  <c r="N96" i="1"/>
  <c r="L96" i="1"/>
  <c r="J96" i="1"/>
  <c r="G108" i="1" l="1"/>
  <c r="H108" i="1" s="1"/>
  <c r="I108" i="1"/>
  <c r="K108" i="1"/>
  <c r="L108" i="1" s="1"/>
  <c r="M108" i="1"/>
  <c r="O108" i="1"/>
  <c r="E108" i="1"/>
  <c r="F108" i="1" s="1"/>
  <c r="G107" i="1"/>
  <c r="H107" i="1" s="1"/>
  <c r="I107" i="1"/>
  <c r="K107" i="1"/>
  <c r="M107" i="1"/>
  <c r="O107" i="1"/>
  <c r="E107" i="1"/>
  <c r="F107" i="1" s="1"/>
  <c r="O103" i="1"/>
  <c r="M103" i="1"/>
  <c r="K103" i="1"/>
  <c r="I103" i="1"/>
  <c r="G103" i="1"/>
  <c r="H103" i="1" s="1"/>
  <c r="E103" i="1"/>
  <c r="F103" i="1" s="1"/>
  <c r="O104" i="1"/>
  <c r="M104" i="1"/>
  <c r="I104" i="1"/>
  <c r="E104" i="1"/>
  <c r="G104" i="1"/>
  <c r="H102" i="1"/>
  <c r="F102" i="1"/>
  <c r="J102" i="1"/>
  <c r="P102" i="1"/>
  <c r="N102" i="1"/>
  <c r="L102" i="1"/>
  <c r="H101" i="1"/>
  <c r="F101" i="1"/>
  <c r="P101" i="1"/>
  <c r="N101" i="1"/>
  <c r="L101" i="1"/>
  <c r="J101" i="1"/>
  <c r="L105" i="1"/>
  <c r="P107" i="1" l="1"/>
  <c r="P108" i="1"/>
  <c r="N103" i="1"/>
  <c r="P103" i="1"/>
  <c r="J107" i="1"/>
  <c r="J108" i="1"/>
  <c r="J103" i="1"/>
  <c r="N107" i="1"/>
  <c r="N108" i="1"/>
  <c r="L107" i="1"/>
  <c r="L103" i="1"/>
  <c r="L32" i="1"/>
  <c r="P67" i="1"/>
  <c r="N67" i="1"/>
  <c r="J67" i="1"/>
  <c r="L67" i="1"/>
  <c r="J65" i="1"/>
  <c r="L65" i="1"/>
  <c r="L62" i="1"/>
  <c r="J62" i="1"/>
  <c r="J61" i="1"/>
  <c r="L61" i="1"/>
  <c r="F60" i="1"/>
  <c r="J60" i="1"/>
  <c r="L60" i="1"/>
  <c r="I59" i="1"/>
  <c r="J58" i="1"/>
  <c r="E59" i="1"/>
  <c r="F58" i="1"/>
  <c r="M58" i="1"/>
  <c r="M59" i="1" s="1"/>
  <c r="P58" i="1"/>
  <c r="L58" i="1"/>
  <c r="H58" i="1"/>
  <c r="O56" i="1"/>
  <c r="M56" i="1"/>
  <c r="N55" i="1"/>
  <c r="I56" i="1"/>
  <c r="J55" i="1"/>
  <c r="E56" i="1"/>
  <c r="F55" i="1"/>
  <c r="H55" i="1"/>
  <c r="G53" i="1"/>
  <c r="H52" i="1"/>
  <c r="P55" i="1"/>
  <c r="L55" i="1"/>
  <c r="O53" i="1"/>
  <c r="M53" i="1"/>
  <c r="K53" i="1"/>
  <c r="I53" i="1"/>
  <c r="E53" i="1"/>
  <c r="F52" i="1"/>
  <c r="P52" i="1"/>
  <c r="N52" i="1"/>
  <c r="L52" i="1"/>
  <c r="J52" i="1"/>
  <c r="N58" i="1" l="1"/>
  <c r="O50" i="1"/>
  <c r="M49" i="1"/>
  <c r="N49" i="1" s="1"/>
  <c r="K50" i="1"/>
  <c r="I50" i="1"/>
  <c r="G50" i="1"/>
  <c r="H49" i="1"/>
  <c r="E50" i="1"/>
  <c r="F49" i="1"/>
  <c r="J49" i="1"/>
  <c r="P49" i="1"/>
  <c r="L49" i="1"/>
  <c r="O47" i="1"/>
  <c r="M47" i="1"/>
  <c r="K47" i="1"/>
  <c r="I47" i="1"/>
  <c r="G47" i="1"/>
  <c r="E47" i="1"/>
  <c r="F46" i="1"/>
  <c r="N46" i="1"/>
  <c r="J46" i="1"/>
  <c r="P46" i="1"/>
  <c r="L46" i="1"/>
  <c r="H46" i="1"/>
  <c r="P82" i="1"/>
  <c r="N82" i="1"/>
  <c r="L82" i="1"/>
  <c r="J82" i="1"/>
  <c r="M28" i="1"/>
  <c r="I28" i="1"/>
  <c r="M26" i="1"/>
  <c r="I26" i="1"/>
  <c r="M24" i="1"/>
  <c r="I24" i="1"/>
  <c r="M22" i="1"/>
  <c r="I22" i="1"/>
  <c r="E28" i="1"/>
  <c r="E26" i="1"/>
  <c r="E24" i="1"/>
  <c r="E22" i="1"/>
  <c r="F21" i="1"/>
  <c r="F23" i="1"/>
  <c r="F25" i="1"/>
  <c r="F27" i="1"/>
  <c r="M50" i="1" l="1"/>
  <c r="N21" i="1"/>
  <c r="N23" i="1"/>
  <c r="N25" i="1"/>
  <c r="N27" i="1"/>
  <c r="J21" i="1"/>
  <c r="J23" i="1"/>
  <c r="J25" i="1"/>
  <c r="J27" i="1"/>
  <c r="M19" i="1"/>
  <c r="I19" i="1"/>
  <c r="O19" i="1"/>
  <c r="K19" i="1"/>
  <c r="G19" i="1"/>
  <c r="E19" i="1"/>
  <c r="O20" i="1" l="1"/>
  <c r="N19" i="1"/>
  <c r="I20" i="1"/>
  <c r="M20" i="1"/>
  <c r="E20" i="1"/>
  <c r="F19" i="1"/>
  <c r="J19" i="1"/>
  <c r="P27" i="1"/>
  <c r="L27" i="1"/>
  <c r="P25" i="1"/>
  <c r="L25" i="1"/>
  <c r="P23" i="1"/>
  <c r="L23" i="1"/>
  <c r="P21" i="1"/>
  <c r="L21" i="1"/>
  <c r="P19" i="1"/>
  <c r="N9" i="1"/>
  <c r="N10" i="1"/>
  <c r="N11" i="1"/>
  <c r="N13" i="1"/>
  <c r="N14" i="1"/>
  <c r="J14" i="1"/>
  <c r="H14" i="1"/>
  <c r="H13" i="1"/>
  <c r="P9" i="1"/>
  <c r="P10" i="1"/>
  <c r="P11" i="1"/>
  <c r="P13" i="1"/>
  <c r="P14" i="1"/>
  <c r="L10" i="1"/>
  <c r="L13" i="1"/>
  <c r="L14" i="1"/>
  <c r="L9" i="1"/>
  <c r="J10" i="1"/>
  <c r="J13" i="1"/>
  <c r="J9" i="1"/>
</calcChain>
</file>

<file path=xl/sharedStrings.xml><?xml version="1.0" encoding="utf-8"?>
<sst xmlns="http://schemas.openxmlformats.org/spreadsheetml/2006/main" count="740" uniqueCount="259">
  <si>
    <t>№ п/п</t>
  </si>
  <si>
    <t>Показатели</t>
  </si>
  <si>
    <t>единицы измерения</t>
  </si>
  <si>
    <t xml:space="preserve"> 2022 год</t>
  </si>
  <si>
    <t xml:space="preserve"> 2023 год</t>
  </si>
  <si>
    <t>1.</t>
  </si>
  <si>
    <t>Демография:</t>
  </si>
  <si>
    <t>1.1.</t>
  </si>
  <si>
    <t>Численность населения (среднегодовая)</t>
  </si>
  <si>
    <t>тыс.человек</t>
  </si>
  <si>
    <t>1.2.</t>
  </si>
  <si>
    <t>человек</t>
  </si>
  <si>
    <t>1.3.</t>
  </si>
  <si>
    <t>Миграционный прирост (убыль) населения</t>
  </si>
  <si>
    <t>2.</t>
  </si>
  <si>
    <t>Труд и занятость населения:</t>
  </si>
  <si>
    <t>2.1</t>
  </si>
  <si>
    <t>Среднесписочная численность работников (без внешних совместителей) по полному кругу организаций</t>
  </si>
  <si>
    <t>2.2</t>
  </si>
  <si>
    <t>Среднесписочная численность работников (без внешних совместителей) по организациям, не относящимся к субъектам малого предпринимательства</t>
  </si>
  <si>
    <t>2.3</t>
  </si>
  <si>
    <t>единиц</t>
  </si>
  <si>
    <t>2.3.1</t>
  </si>
  <si>
    <t xml:space="preserve">        постоянные</t>
  </si>
  <si>
    <t>2.3.2</t>
  </si>
  <si>
    <t xml:space="preserve">        временные</t>
  </si>
  <si>
    <t>3.</t>
  </si>
  <si>
    <t>Объем отгруженных товаров собственного производства, выполненных работ и услуг собственными силами (по крупным и средним) производителей промышленной продукции:</t>
  </si>
  <si>
    <t>млн. рублей</t>
  </si>
  <si>
    <t>3.1</t>
  </si>
  <si>
    <t>Индекс промышленного производства</t>
  </si>
  <si>
    <t>в % к предыдущему году</t>
  </si>
  <si>
    <t>3.2</t>
  </si>
  <si>
    <t xml:space="preserve">   - добыча полезных ископаемых</t>
  </si>
  <si>
    <t>3.3</t>
  </si>
  <si>
    <t>Индекс производства</t>
  </si>
  <si>
    <t>3.4</t>
  </si>
  <si>
    <t xml:space="preserve">   - обрабатывающие производства</t>
  </si>
  <si>
    <t>3.5</t>
  </si>
  <si>
    <t>3.6</t>
  </si>
  <si>
    <t xml:space="preserve">   - обеспечение электрической энергией, газом и паром; кондиционирование воздуха</t>
  </si>
  <si>
    <t>3.7</t>
  </si>
  <si>
    <t>3.8</t>
  </si>
  <si>
    <t xml:space="preserve">   - водоснабжение; водоотведение, организация сбора и утилизации отходов, деятельность по ликвидации загрязнений</t>
  </si>
  <si>
    <t>3.9</t>
  </si>
  <si>
    <t>4.</t>
  </si>
  <si>
    <t>Производство основных видов промышленной продукции:</t>
  </si>
  <si>
    <t>4.1</t>
  </si>
  <si>
    <t>Добыча нефти, включая газовый конденсат</t>
  </si>
  <si>
    <t>млн.тонн</t>
  </si>
  <si>
    <t>4.2</t>
  </si>
  <si>
    <t xml:space="preserve">Добыча газа природного и попутного     </t>
  </si>
  <si>
    <t>млрд.куб.м</t>
  </si>
  <si>
    <t>4.3</t>
  </si>
  <si>
    <t>Производство электроэнергии</t>
  </si>
  <si>
    <t>млрд.кВт. час.</t>
  </si>
  <si>
    <t>4.4</t>
  </si>
  <si>
    <t>Конструкции и детали железобетонные</t>
  </si>
  <si>
    <t>тыс.куб.м</t>
  </si>
  <si>
    <t>4.5</t>
  </si>
  <si>
    <t>Вывозка древесины</t>
  </si>
  <si>
    <t>4.6</t>
  </si>
  <si>
    <t>Производство древесины необработанной</t>
  </si>
  <si>
    <t>4.7</t>
  </si>
  <si>
    <t>Производство пиломатериалов</t>
  </si>
  <si>
    <t>4.8</t>
  </si>
  <si>
    <t>Производство блоков оконных</t>
  </si>
  <si>
    <t>тыс.кв.м</t>
  </si>
  <si>
    <t>4.9</t>
  </si>
  <si>
    <t>Производство блоков дверных</t>
  </si>
  <si>
    <t>4.10</t>
  </si>
  <si>
    <t>Производство щепы технологической</t>
  </si>
  <si>
    <t>тыс.пл.куб.м</t>
  </si>
  <si>
    <t>4.11</t>
  </si>
  <si>
    <t>Производство плиты древесноволокнистой (МДФ)</t>
  </si>
  <si>
    <t>тыс.усл.кв.м</t>
  </si>
  <si>
    <t>4.12</t>
  </si>
  <si>
    <t>Производство плиты древесностружечной (ДСП)</t>
  </si>
  <si>
    <t>усл.куб.м</t>
  </si>
  <si>
    <t>4.13</t>
  </si>
  <si>
    <t>Производство шпонированного бруса ЛВЛ</t>
  </si>
  <si>
    <t>4.14</t>
  </si>
  <si>
    <t>Производство фанеры хвойной</t>
  </si>
  <si>
    <t>4.15</t>
  </si>
  <si>
    <t>Производство деревянных домов заводского изготовления</t>
  </si>
  <si>
    <t>5.</t>
  </si>
  <si>
    <t>Объем инвестиций в основной капитал:</t>
  </si>
  <si>
    <t>млн.руб.</t>
  </si>
  <si>
    <t>х</t>
  </si>
  <si>
    <t>5.1</t>
  </si>
  <si>
    <t>Индекс физического объема</t>
  </si>
  <si>
    <t>% к предыдущему году в сопоставимых ценах</t>
  </si>
  <si>
    <t>6.</t>
  </si>
  <si>
    <t xml:space="preserve">Объем работ, выполненных по виду деятельности "Строительство": </t>
  </si>
  <si>
    <t>млн.рублей</t>
  </si>
  <si>
    <t>6.1</t>
  </si>
  <si>
    <t xml:space="preserve">% к предыдущему году </t>
  </si>
  <si>
    <t>7.</t>
  </si>
  <si>
    <t>Оборот розничной торговли:</t>
  </si>
  <si>
    <t>7.1</t>
  </si>
  <si>
    <t>8.</t>
  </si>
  <si>
    <t>Объем реализации платных услуг:</t>
  </si>
  <si>
    <t>8.1</t>
  </si>
  <si>
    <t>9.</t>
  </si>
  <si>
    <t>Производство сельскохозяйственной продукции (сельскохозяйственные организации):</t>
  </si>
  <si>
    <t>9.1</t>
  </si>
  <si>
    <t>Индекс  производства</t>
  </si>
  <si>
    <t>9.2</t>
  </si>
  <si>
    <t>скот и птица (на убой в живом весе)</t>
  </si>
  <si>
    <t>тыс.тонн</t>
  </si>
  <si>
    <t>9.3</t>
  </si>
  <si>
    <t>молоко</t>
  </si>
  <si>
    <t>9.4</t>
  </si>
  <si>
    <t>яйцо</t>
  </si>
  <si>
    <t>млн.штук</t>
  </si>
  <si>
    <t>9.5</t>
  </si>
  <si>
    <t>картофель</t>
  </si>
  <si>
    <t>9.6</t>
  </si>
  <si>
    <t>овощи</t>
  </si>
  <si>
    <t>9.7</t>
  </si>
  <si>
    <t>поголовье скота</t>
  </si>
  <si>
    <t>тыс.голов</t>
  </si>
  <si>
    <t>10.</t>
  </si>
  <si>
    <t>Производство местной  пищевой продукции:</t>
  </si>
  <si>
    <t>10.1</t>
  </si>
  <si>
    <t xml:space="preserve">хлеб и хлебобулочные изделия </t>
  </si>
  <si>
    <t>тонн</t>
  </si>
  <si>
    <t>10.2</t>
  </si>
  <si>
    <t>цельномолочная продукция (в пересчете на молоко)</t>
  </si>
  <si>
    <t>10.3</t>
  </si>
  <si>
    <t>колбасные изделия</t>
  </si>
  <si>
    <t>11.</t>
  </si>
  <si>
    <t>Инфраструктура населенных пунктов:</t>
  </si>
  <si>
    <t>11.1</t>
  </si>
  <si>
    <t xml:space="preserve">Количество населенных пунктов не обеспеченных выходом в сеть Интернет </t>
  </si>
  <si>
    <t>11.2</t>
  </si>
  <si>
    <t xml:space="preserve">Количество населенных пунктов не имеющих централизованного электроснабжения </t>
  </si>
  <si>
    <t>11.3</t>
  </si>
  <si>
    <t xml:space="preserve">Количество населенных пунктов не имеющих централизованного газоснабжения </t>
  </si>
  <si>
    <t>11.4</t>
  </si>
  <si>
    <t xml:space="preserve">Количество населенных пунктов не обеспеченных круглогодичной транспортной связью с сетью автомобильных дорог общего пользования </t>
  </si>
  <si>
    <t>12.</t>
  </si>
  <si>
    <t xml:space="preserve">Финансы: </t>
  </si>
  <si>
    <t>12.1</t>
  </si>
  <si>
    <t>Прибыль прибыльных предприятий</t>
  </si>
  <si>
    <t>12.2</t>
  </si>
  <si>
    <t>Кредиторская задолженность</t>
  </si>
  <si>
    <t>12.2.1</t>
  </si>
  <si>
    <t>в т.ч. просроченная</t>
  </si>
  <si>
    <t>12.3</t>
  </si>
  <si>
    <t>Дебиторская задолженность</t>
  </si>
  <si>
    <t>12.3.1</t>
  </si>
  <si>
    <t>13.</t>
  </si>
  <si>
    <t>13.1</t>
  </si>
  <si>
    <t>Жилые дома (общая площадь квартир)</t>
  </si>
  <si>
    <t>13.2</t>
  </si>
  <si>
    <t>Общеобразовательные школы</t>
  </si>
  <si>
    <t>уч. мест</t>
  </si>
  <si>
    <t>13.3</t>
  </si>
  <si>
    <t>Дошкольные образовательные учреждения</t>
  </si>
  <si>
    <t xml:space="preserve">мест </t>
  </si>
  <si>
    <t>13.4</t>
  </si>
  <si>
    <t>Поликлиники</t>
  </si>
  <si>
    <t>посещений в смену</t>
  </si>
  <si>
    <t>13.5</t>
  </si>
  <si>
    <t>Больницы</t>
  </si>
  <si>
    <t>койко/мест</t>
  </si>
  <si>
    <t>14.</t>
  </si>
  <si>
    <t>Жилищно- коммунальный комплекс:</t>
  </si>
  <si>
    <t>14.1</t>
  </si>
  <si>
    <t>Число организаций, оказывающих жилищно-коммунальные услуги, из них:</t>
  </si>
  <si>
    <t>14.1.1</t>
  </si>
  <si>
    <t>число организаций на рынке жилищных услуг</t>
  </si>
  <si>
    <t>14.1.2</t>
  </si>
  <si>
    <t>в т.ч. частной формы собственности</t>
  </si>
  <si>
    <t>14.2.1</t>
  </si>
  <si>
    <t>число организаций, оказывающих коммунальные услуги</t>
  </si>
  <si>
    <t>14.2.2</t>
  </si>
  <si>
    <t>14.3</t>
  </si>
  <si>
    <t>Установленный стандарт уровня платежей населения за ЖКУ</t>
  </si>
  <si>
    <t>%</t>
  </si>
  <si>
    <t>14.4</t>
  </si>
  <si>
    <t>Общая дебиторская задолженность ЖКК</t>
  </si>
  <si>
    <t>14.5</t>
  </si>
  <si>
    <t>Доля задолженности населения в общем объеме дебиторской задолженности ЖКК</t>
  </si>
  <si>
    <t>14.6</t>
  </si>
  <si>
    <t xml:space="preserve">Объем предоставленных субсидий на оплату жилого помещения и коммунальных услуг </t>
  </si>
  <si>
    <t>14.7</t>
  </si>
  <si>
    <t>Фактический уровень возмещения населением затрат за предоставление жилищно-коммунальных услуг</t>
  </si>
  <si>
    <t>14.8</t>
  </si>
  <si>
    <t>Число семей, получавших субсидии на оплату жилого помещения и коммунальных услуг (на конец отчетного периода)</t>
  </si>
  <si>
    <t>14.9</t>
  </si>
  <si>
    <t>Численность лиц, проживающих в семьях, получавших субсидии на оплату жилого помещения и коммунальных услуг (на конец отчетного периода)</t>
  </si>
  <si>
    <t>15.</t>
  </si>
  <si>
    <t>Уровень жизни населения:</t>
  </si>
  <si>
    <t>15.1</t>
  </si>
  <si>
    <t>Среднемесячная номинальная начисленная заработная плата одного работника по крупным и средним предприятиям</t>
  </si>
  <si>
    <t>рублей</t>
  </si>
  <si>
    <t>15.2</t>
  </si>
  <si>
    <t>Среднедушевые  денежные доходы населения</t>
  </si>
  <si>
    <t>15.3</t>
  </si>
  <si>
    <t>Потребительские расходы на душу населения</t>
  </si>
  <si>
    <t>15.4</t>
  </si>
  <si>
    <t>Реальные располагаемые денежные доходы неселения</t>
  </si>
  <si>
    <t>15.5</t>
  </si>
  <si>
    <t>Средний размер дохода пенсионера (на конец года отчетного периода)</t>
  </si>
  <si>
    <t>15.6</t>
  </si>
  <si>
    <t xml:space="preserve">Соотношение среднемесячного дохода  и прожиточного минимума пенсионера </t>
  </si>
  <si>
    <t>15.7</t>
  </si>
  <si>
    <t>Оборот розничной торговли на 1 жителя</t>
  </si>
  <si>
    <t>тыс.рублей</t>
  </si>
  <si>
    <t>15.8</t>
  </si>
  <si>
    <t>Объем реализации платных услуг на 1 жителя</t>
  </si>
  <si>
    <t>15.9</t>
  </si>
  <si>
    <t xml:space="preserve">Количество транспортных средств в собственности граждан, зарегистрированных в установленном порядке, состоящих на учете </t>
  </si>
  <si>
    <t>тыс. единиц</t>
  </si>
  <si>
    <t>16.</t>
  </si>
  <si>
    <t>Показатели развития малого и среднего предпринимательства:</t>
  </si>
  <si>
    <t>16.1</t>
  </si>
  <si>
    <t>Количество субъектов малого и среднего предпринимательства (без учета индивидуальных предпринимателей)</t>
  </si>
  <si>
    <t>16.2</t>
  </si>
  <si>
    <t>Индивидуальные предприниматели</t>
  </si>
  <si>
    <t>16.3</t>
  </si>
  <si>
    <t>Среднесписочная численность работающих на малых и средних предприятиях</t>
  </si>
  <si>
    <t>тыс. человек</t>
  </si>
  <si>
    <t>16.4</t>
  </si>
  <si>
    <t>Доля работающих на предприятиях малого и среднего предпринимательства в общей численности работающих</t>
  </si>
  <si>
    <t>16.5</t>
  </si>
  <si>
    <t>Оборот предприятий малого и среднего предпринимательства</t>
  </si>
  <si>
    <t>млрд рублей</t>
  </si>
  <si>
    <t>16.6</t>
  </si>
  <si>
    <t>Количество самозанятых граждан, зафиксировавших свой статус и применяющих специальных налоговый режим «Налог на профессиональный доход», нарастающим итогом</t>
  </si>
  <si>
    <t>в действующих ценах каждого года</t>
  </si>
  <si>
    <t xml:space="preserve">в действующих ценах каждого года </t>
  </si>
  <si>
    <t>1</t>
  </si>
  <si>
    <t>Естественный прирост (убыль) населения</t>
  </si>
  <si>
    <t>Ввод в действие жилых домов и объектов соцкультбыта:</t>
  </si>
  <si>
    <t xml:space="preserve"> 2024 год
оценка</t>
  </si>
  <si>
    <t>Темп роста
2022 года к
2021 году,
%</t>
  </si>
  <si>
    <t>Темп роста
2023 года к
2022 году, 
%</t>
  </si>
  <si>
    <t>Темп роста
2024 года к
 2023 году, 
%</t>
  </si>
  <si>
    <t>ДЭР</t>
  </si>
  <si>
    <t>НЦЗ</t>
  </si>
  <si>
    <t>ДЖКХ</t>
  </si>
  <si>
    <t>ДФ</t>
  </si>
  <si>
    <t>ДГиЗО</t>
  </si>
  <si>
    <t>ПФР</t>
  </si>
  <si>
    <t>Динамика основных показателей социально-экономического развития
муниципального образования город Нефтеюганск
за январь-июнь  2024 года</t>
  </si>
  <si>
    <t>январь-июнь
 2022 года</t>
  </si>
  <si>
    <t>Темп роста января-июня 2022 года к январю-июню 2021 году, 
%</t>
  </si>
  <si>
    <t>январь-июнь
 2023 года</t>
  </si>
  <si>
    <t>Темп роста января-июня 2023 года к январю-июню 2022 года, 
%</t>
  </si>
  <si>
    <t>январь-июнь
 2024 года</t>
  </si>
  <si>
    <t>Темп роста
января-июня
2024 года к
январю-июню 2023 года, 
%</t>
  </si>
  <si>
    <t>Вновь созданные рабочие места (данные Нефтеюганского центра занятости), в том числе</t>
  </si>
  <si>
    <t>в 2 раза</t>
  </si>
  <si>
    <t>в 2,9 раза</t>
  </si>
  <si>
    <t>в 3,5 раза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</si>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</sst>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.0_р_."/>
  </numFmts>
  <fonts count="29" x14ac:knownFonts="1">
    <font>
      <sz val="10"/>
      <color theme="1"/>
      <name val="Arial Cy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</font>
    <font>
      <sz val="20"/>
      <name val="Times New Roman Cyr"/>
    </font>
    <font>
      <sz val="12"/>
      <name val="Times New Roman Cyr"/>
    </font>
    <font>
      <b/>
      <sz val="16"/>
      <name val="Times New Roman Cyr"/>
    </font>
    <font>
      <sz val="14"/>
      <name val="Times New Roman Cyr"/>
    </font>
    <font>
      <sz val="16"/>
      <name val="Times New Roman Cyr"/>
    </font>
    <font>
      <sz val="16"/>
      <color theme="0"/>
      <name val="Times New Roman Cyr"/>
    </font>
    <font>
      <sz val="10"/>
      <color theme="1"/>
      <name val="Arial Cyr"/>
    </font>
    <font>
      <sz val="12"/>
      <color theme="1"/>
      <name val="Arial Cyr"/>
    </font>
    <font>
      <sz val="14"/>
      <name val="Times New Roman"/>
      <family val="1"/>
      <charset val="204"/>
    </font>
    <font>
      <b/>
      <sz val="14"/>
      <name val="Times New Roman Cyr"/>
    </font>
    <font>
      <sz val="14"/>
      <name val="Arial Cyr"/>
    </font>
    <font>
      <sz val="14"/>
      <color indexed="2"/>
      <name val="Times New Roman Cyr"/>
    </font>
    <font>
      <b/>
      <sz val="14"/>
      <name val="Times New Roman"/>
      <family val="1"/>
      <charset val="204"/>
    </font>
    <font>
      <sz val="14"/>
      <color theme="1"/>
      <name val="Arial Cyr"/>
    </font>
    <font>
      <b/>
      <sz val="14"/>
      <color indexed="2"/>
      <name val="Times New Roman Cyr"/>
    </font>
    <font>
      <sz val="14"/>
      <color indexed="4"/>
      <name val="Times New Roman Cyr"/>
    </font>
    <font>
      <sz val="18"/>
      <name val="Times New Roman Cyr"/>
    </font>
    <font>
      <sz val="18"/>
      <color theme="1"/>
      <name val="Arial Cyr"/>
    </font>
    <font>
      <b/>
      <sz val="14"/>
      <name val="Times New Roman Cyr"/>
      <charset val="204"/>
    </font>
    <font>
      <b/>
      <sz val="18"/>
      <name val="Times New Roman Cyr"/>
    </font>
    <font>
      <b/>
      <sz val="16"/>
      <name val="Times New Roman Cyr"/>
      <charset val="204"/>
    </font>
    <font>
      <sz val="14"/>
      <color theme="1"/>
      <name val="Times New Roman Cyr"/>
    </font>
    <font>
      <sz val="18"/>
      <name val="Arial Cyr"/>
    </font>
    <font>
      <b/>
      <sz val="18"/>
      <name val="Arial Cy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1" fillId="0" borderId="0"/>
    <xf numFmtId="0" fontId="1" fillId="0" borderId="0"/>
    <xf numFmtId="0" fontId="3" fillId="0" borderId="0"/>
    <xf numFmtId="0" fontId="11" fillId="0" borderId="0"/>
    <xf numFmtId="0" fontId="11" fillId="0" borderId="0"/>
  </cellStyleXfs>
  <cellXfs count="87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6" fillId="0" borderId="0" xfId="0" applyFont="1" applyFill="1"/>
    <xf numFmtId="0" fontId="12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0" applyFont="1" applyFill="1"/>
    <xf numFmtId="0" fontId="20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7" borderId="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/>
    <xf numFmtId="2" fontId="23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/>
    <xf numFmtId="164" fontId="9" fillId="0" borderId="0" xfId="0" applyNumberFormat="1" applyFont="1" applyFill="1" applyBorder="1"/>
    <xf numFmtId="9" fontId="23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right"/>
    </xf>
    <xf numFmtId="0" fontId="22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22" fillId="2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 applyProtection="1">
      <alignment horizontal="left" vertical="center" wrapText="1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16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8" fillId="0" borderId="1" xfId="0" applyNumberFormat="1" applyFont="1" applyFill="1" applyBorder="1" applyAlignment="1" applyProtection="1">
      <alignment horizontal="center" vertical="center"/>
      <protection hidden="1"/>
    </xf>
    <xf numFmtId="4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26" fillId="0" borderId="1" xfId="0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2" fontId="8" fillId="0" borderId="1" xfId="0" applyNumberFormat="1" applyFont="1" applyFill="1" applyBorder="1" applyAlignment="1" applyProtection="1">
      <alignment horizontal="center" vertical="center"/>
      <protection hidden="1"/>
    </xf>
    <xf numFmtId="0" fontId="16" fillId="0" borderId="1" xfId="0" applyFont="1" applyFill="1" applyBorder="1" applyAlignment="1" applyProtection="1">
      <alignment horizontal="center" vertical="center"/>
      <protection hidden="1"/>
    </xf>
    <xf numFmtId="165" fontId="8" fillId="0" borderId="1" xfId="0" applyNumberFormat="1" applyFont="1" applyFill="1" applyBorder="1" applyAlignment="1" applyProtection="1">
      <alignment horizontal="center" vertical="center"/>
      <protection hidden="1"/>
    </xf>
    <xf numFmtId="2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164" fontId="8" fillId="0" borderId="1" xfId="0" applyNumberFormat="1" applyFont="1" applyFill="1" applyBorder="1" applyAlignment="1" applyProtection="1">
      <alignment horizontal="center" vertical="center"/>
      <protection hidden="1"/>
    </xf>
    <xf numFmtId="3" fontId="16" fillId="0" borderId="1" xfId="0" applyNumberFormat="1" applyFont="1" applyFill="1" applyBorder="1" applyAlignment="1" applyProtection="1">
      <alignment horizontal="center" vertical="center"/>
      <protection hidden="1"/>
    </xf>
    <xf numFmtId="166" fontId="8" fillId="0" borderId="1" xfId="0" applyNumberFormat="1" applyFont="1" applyFill="1" applyBorder="1" applyAlignment="1" applyProtection="1">
      <alignment horizontal="center" vertical="center"/>
      <protection hidden="1"/>
    </xf>
  </cellXfs>
  <cellStyles count="70">
    <cellStyle name="Гиперссылка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6"/>
    <cellStyle name="Обычный 15" xfId="7"/>
    <cellStyle name="Обычный 16" xfId="8"/>
    <cellStyle name="Обычный 17" xfId="9"/>
    <cellStyle name="Обычный 18" xfId="10"/>
    <cellStyle name="Обычный 19" xfId="11"/>
    <cellStyle name="Обычный 2" xfId="12"/>
    <cellStyle name="Обычный 2 10" xfId="13"/>
    <cellStyle name="Обычный 2 11" xfId="14"/>
    <cellStyle name="Обычный 2 12" xfId="15"/>
    <cellStyle name="Обычный 2 13" xfId="16"/>
    <cellStyle name="Обычный 2 14" xfId="17"/>
    <cellStyle name="Обычный 2 15" xfId="18"/>
    <cellStyle name="Обычный 2 16" xfId="19"/>
    <cellStyle name="Обычный 2 17" xfId="20"/>
    <cellStyle name="Обычный 2 18" xfId="21"/>
    <cellStyle name="Обычный 2 19" xfId="22"/>
    <cellStyle name="Обычный 2 2" xfId="23"/>
    <cellStyle name="Обычный 2 20" xfId="24"/>
    <cellStyle name="Обычный 2 21" xfId="25"/>
    <cellStyle name="Обычный 2 22" xfId="26"/>
    <cellStyle name="Обычный 2 23" xfId="27"/>
    <cellStyle name="Обычный 2 24" xfId="28"/>
    <cellStyle name="Обычный 2 25" xfId="29"/>
    <cellStyle name="Обычный 2 26" xfId="30"/>
    <cellStyle name="Обычный 2 27" xfId="31"/>
    <cellStyle name="Обычный 2 28" xfId="32"/>
    <cellStyle name="Обычный 2 29" xfId="33"/>
    <cellStyle name="Обычный 2 3" xfId="34"/>
    <cellStyle name="Обычный 2 30" xfId="35"/>
    <cellStyle name="Обычный 2 4" xfId="36"/>
    <cellStyle name="Обычный 2 5" xfId="37"/>
    <cellStyle name="Обычный 2 6" xfId="38"/>
    <cellStyle name="Обычный 2 7" xfId="39"/>
    <cellStyle name="Обычный 2 8" xfId="40"/>
    <cellStyle name="Обычный 2 9" xfId="41"/>
    <cellStyle name="Обычный 2_диаграммы к уточн. прогн." xfId="42"/>
    <cellStyle name="Обычный 20" xfId="43"/>
    <cellStyle name="Обычный 21" xfId="44"/>
    <cellStyle name="Обычный 22" xfId="45"/>
    <cellStyle name="Обычный 23" xfId="46"/>
    <cellStyle name="Обычный 24" xfId="47"/>
    <cellStyle name="Обычный 25" xfId="48"/>
    <cellStyle name="Обычный 26" xfId="49"/>
    <cellStyle name="Обычный 27" xfId="50"/>
    <cellStyle name="Обычный 28" xfId="51"/>
    <cellStyle name="Обычный 29" xfId="52"/>
    <cellStyle name="Обычный 3" xfId="53"/>
    <cellStyle name="Обычный 3 2" xfId="54"/>
    <cellStyle name="Обычный 30" xfId="55"/>
    <cellStyle name="Обычный 31" xfId="56"/>
    <cellStyle name="Обычный 32" xfId="57"/>
    <cellStyle name="Обычный 33" xfId="58"/>
    <cellStyle name="Обычный 34" xfId="59"/>
    <cellStyle name="Обычный 35" xfId="60"/>
    <cellStyle name="Обычный 36" xfId="61"/>
    <cellStyle name="Обычный 37" xfId="62"/>
    <cellStyle name="Обычный 38" xfId="63"/>
    <cellStyle name="Обычный 4" xfId="64"/>
    <cellStyle name="Обычный 4 2" xfId="65"/>
    <cellStyle name="Обычный 5" xfId="66"/>
    <cellStyle name="Обычный 6" xfId="67"/>
    <cellStyle name="Обычный 7" xfId="68"/>
    <cellStyle name="Обычный 8" xfId="69"/>
  </cellStyles>
  <dxfs count="0"/>
  <tableStyles count="0" defaultTableStyle="TableStyleMedium2" defaultPivotStyle="PivotStyleLight16"/>
  <colors>
    <mruColors>
      <color rgb="FFFFCCFF"/>
      <color rgb="FFCCFF33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B224"/>
  <sheetViews>
    <sheetView tabSelected="1" view="pageBreakPreview" zoomScale="55" zoomScaleNormal="25" zoomScaleSheetLayoutView="5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18" sqref="G18"/>
    </sheetView>
  </sheetViews>
  <sheetFormatPr defaultColWidth="34.28515625" defaultRowHeight="26.25" customHeight="1" x14ac:dyDescent="0.2"/>
  <cols>
    <col min="1" max="1" width="23.85546875" style="20" hidden="1" customWidth="1"/>
    <col min="2" max="2" width="11.5703125" style="1" customWidth="1"/>
    <col min="3" max="3" width="76" style="3" customWidth="1"/>
    <col min="4" max="4" width="23.28515625" style="1" customWidth="1"/>
    <col min="5" max="6" width="20.140625" style="1" customWidth="1"/>
    <col min="7" max="7" width="17.140625" style="2" customWidth="1"/>
    <col min="8" max="8" width="18.7109375" style="2" customWidth="1"/>
    <col min="9" max="9" width="19.85546875" style="2" customWidth="1"/>
    <col min="10" max="10" width="20.140625" style="2" customWidth="1"/>
    <col min="11" max="12" width="18.28515625" style="3" customWidth="1"/>
    <col min="13" max="13" width="19.42578125" style="3" customWidth="1"/>
    <col min="14" max="14" width="20.28515625" style="3" customWidth="1"/>
    <col min="15" max="15" width="18.140625" style="3" customWidth="1"/>
    <col min="16" max="16" width="21.7109375" style="3" customWidth="1"/>
    <col min="17" max="17" width="30.85546875" style="3" customWidth="1"/>
    <col min="18" max="18" width="19.140625" style="3" customWidth="1"/>
    <col min="19" max="19" width="22.28515625" style="3" customWidth="1"/>
    <col min="20" max="20" width="14.28515625" style="3" customWidth="1"/>
    <col min="21" max="21" width="20.7109375" style="3" customWidth="1"/>
    <col min="22" max="22" width="20.5703125" style="3" customWidth="1"/>
    <col min="23" max="23" width="15.28515625" style="3" customWidth="1"/>
    <col min="24" max="24" width="18.85546875" style="3" customWidth="1"/>
    <col min="25" max="25" width="18" style="3" customWidth="1"/>
    <col min="26" max="26" width="10.7109375" style="3" customWidth="1"/>
    <col min="27" max="262" width="34.28515625" style="3"/>
    <col min="263" max="16384" width="34.28515625" style="4"/>
  </cols>
  <sheetData>
    <row r="1" spans="1:262" s="14" customFormat="1" ht="23.25" x14ac:dyDescent="0.3">
      <c r="A1" s="20"/>
      <c r="B1" s="12"/>
      <c r="C1" s="15"/>
      <c r="D1" s="16"/>
      <c r="E1" s="16"/>
      <c r="F1" s="16"/>
      <c r="G1" s="10"/>
      <c r="H1" s="10"/>
      <c r="I1" s="10"/>
      <c r="J1" s="10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</row>
    <row r="2" spans="1:262" s="11" customFormat="1" ht="23.25" x14ac:dyDescent="0.3">
      <c r="A2" s="21"/>
      <c r="B2" s="12"/>
      <c r="C2" s="58"/>
      <c r="D2" s="59"/>
      <c r="E2" s="19"/>
      <c r="F2" s="19"/>
      <c r="G2" s="10"/>
      <c r="H2" s="10"/>
      <c r="I2" s="10"/>
      <c r="J2" s="10"/>
      <c r="P2" s="9"/>
    </row>
    <row r="3" spans="1:262" s="11" customFormat="1" ht="23.25" x14ac:dyDescent="0.3">
      <c r="A3" s="21"/>
      <c r="B3" s="12"/>
      <c r="C3" s="17"/>
      <c r="D3" s="18"/>
      <c r="E3" s="19"/>
      <c r="F3" s="19"/>
      <c r="G3" s="10"/>
      <c r="H3" s="10"/>
      <c r="I3" s="10"/>
      <c r="J3" s="10"/>
    </row>
    <row r="4" spans="1:262" s="5" customFormat="1" ht="98.25" customHeight="1" x14ac:dyDescent="0.25">
      <c r="A4" s="21"/>
      <c r="B4" s="60" t="s">
        <v>247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</row>
    <row r="5" spans="1:262" s="14" customFormat="1" ht="23.25" x14ac:dyDescent="0.3">
      <c r="A5" s="20"/>
      <c r="B5" s="12"/>
      <c r="C5" s="13"/>
      <c r="D5" s="10"/>
      <c r="E5" s="10"/>
      <c r="F5" s="10"/>
      <c r="G5" s="10"/>
      <c r="H5" s="10"/>
      <c r="I5" s="10"/>
      <c r="J5" s="10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</row>
    <row r="6" spans="1:262" ht="178.5" customHeight="1" x14ac:dyDescent="0.2">
      <c r="A6" s="22"/>
      <c r="B6" s="28" t="s">
        <v>0</v>
      </c>
      <c r="C6" s="29" t="s">
        <v>1</v>
      </c>
      <c r="D6" s="29" t="s">
        <v>2</v>
      </c>
      <c r="E6" s="29" t="s">
        <v>248</v>
      </c>
      <c r="F6" s="29" t="s">
        <v>249</v>
      </c>
      <c r="G6" s="30" t="s">
        <v>3</v>
      </c>
      <c r="H6" s="30" t="s">
        <v>238</v>
      </c>
      <c r="I6" s="29" t="s">
        <v>250</v>
      </c>
      <c r="J6" s="29" t="s">
        <v>251</v>
      </c>
      <c r="K6" s="30" t="s">
        <v>4</v>
      </c>
      <c r="L6" s="30" t="s">
        <v>239</v>
      </c>
      <c r="M6" s="29" t="s">
        <v>252</v>
      </c>
      <c r="N6" s="29" t="s">
        <v>253</v>
      </c>
      <c r="O6" s="30" t="s">
        <v>237</v>
      </c>
      <c r="P6" s="30" t="s">
        <v>240</v>
      </c>
    </row>
    <row r="7" spans="1:262" s="6" customFormat="1" ht="23.25" x14ac:dyDescent="0.25">
      <c r="A7" s="22"/>
      <c r="B7" s="31" t="s">
        <v>234</v>
      </c>
      <c r="C7" s="7">
        <v>2</v>
      </c>
      <c r="D7" s="7">
        <v>3</v>
      </c>
      <c r="E7" s="7">
        <v>4</v>
      </c>
      <c r="F7" s="7">
        <v>5</v>
      </c>
      <c r="G7" s="8">
        <v>6</v>
      </c>
      <c r="H7" s="8">
        <v>7</v>
      </c>
      <c r="I7" s="8">
        <v>8</v>
      </c>
      <c r="J7" s="8">
        <v>9</v>
      </c>
      <c r="K7" s="8">
        <v>10</v>
      </c>
      <c r="L7" s="8">
        <v>11</v>
      </c>
      <c r="M7" s="8">
        <v>12</v>
      </c>
      <c r="N7" s="8">
        <v>13</v>
      </c>
      <c r="O7" s="8">
        <v>14</v>
      </c>
      <c r="P7" s="8">
        <v>15</v>
      </c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</row>
    <row r="8" spans="1:262" ht="24" customHeight="1" x14ac:dyDescent="0.2">
      <c r="A8" s="22"/>
      <c r="B8" s="28" t="s">
        <v>5</v>
      </c>
      <c r="C8" s="54" t="s">
        <v>6</v>
      </c>
      <c r="D8" s="55"/>
      <c r="E8" s="66"/>
      <c r="F8" s="66"/>
      <c r="G8" s="67"/>
      <c r="H8" s="67"/>
      <c r="I8" s="67"/>
      <c r="J8" s="67"/>
      <c r="K8" s="68"/>
      <c r="L8" s="68"/>
      <c r="M8" s="68"/>
      <c r="N8" s="68"/>
      <c r="O8" s="68"/>
      <c r="P8" s="68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62" ht="22.5" customHeight="1" x14ac:dyDescent="0.2">
      <c r="A9" s="62" t="s">
        <v>241</v>
      </c>
      <c r="B9" s="31" t="s">
        <v>7</v>
      </c>
      <c r="C9" s="32" t="s">
        <v>8</v>
      </c>
      <c r="D9" s="8" t="s">
        <v>9</v>
      </c>
      <c r="E9" s="69">
        <v>124.64</v>
      </c>
      <c r="F9" s="69">
        <v>96.83</v>
      </c>
      <c r="G9" s="67">
        <v>124.756</v>
      </c>
      <c r="H9" s="67">
        <v>97.15</v>
      </c>
      <c r="I9" s="67">
        <v>125.15600000000001</v>
      </c>
      <c r="J9" s="67">
        <f>I9/E9*100</f>
        <v>100.41399229781771</v>
      </c>
      <c r="K9" s="67">
        <v>125.84</v>
      </c>
      <c r="L9" s="67">
        <f>K9/G9*100</f>
        <v>100.86889608515823</v>
      </c>
      <c r="M9" s="67">
        <v>126.38200000000001</v>
      </c>
      <c r="N9" s="67">
        <f>M9/I9*100</f>
        <v>100.97957748729584</v>
      </c>
      <c r="O9" s="67">
        <v>126.925</v>
      </c>
      <c r="P9" s="67">
        <f>O9/K9*100</f>
        <v>100.86220597584234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262" ht="21.75" customHeight="1" x14ac:dyDescent="0.2">
      <c r="A10" s="62"/>
      <c r="B10" s="31" t="s">
        <v>10</v>
      </c>
      <c r="C10" s="33" t="s">
        <v>235</v>
      </c>
      <c r="D10" s="8" t="s">
        <v>11</v>
      </c>
      <c r="E10" s="70">
        <v>300</v>
      </c>
      <c r="F10" s="69" t="s">
        <v>255</v>
      </c>
      <c r="G10" s="71">
        <v>514</v>
      </c>
      <c r="H10" s="67" t="s">
        <v>255</v>
      </c>
      <c r="I10" s="71">
        <v>230</v>
      </c>
      <c r="J10" s="67">
        <f t="shared" ref="J10:J14" si="0">I10/E10*100</f>
        <v>76.666666666666671</v>
      </c>
      <c r="K10" s="71">
        <v>458</v>
      </c>
      <c r="L10" s="67">
        <f t="shared" ref="L10:L14" si="1">K10/G10*100</f>
        <v>89.105058365758765</v>
      </c>
      <c r="M10" s="71">
        <v>189</v>
      </c>
      <c r="N10" s="67">
        <f>M10/I10*100</f>
        <v>82.173913043478265</v>
      </c>
      <c r="O10" s="71">
        <v>462</v>
      </c>
      <c r="P10" s="67">
        <f t="shared" ref="P10:P14" si="2">O10/K10*100</f>
        <v>100.87336244541486</v>
      </c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</row>
    <row r="11" spans="1:262" ht="18.75" x14ac:dyDescent="0.2">
      <c r="A11" s="62"/>
      <c r="B11" s="31" t="s">
        <v>12</v>
      </c>
      <c r="C11" s="33" t="s">
        <v>13</v>
      </c>
      <c r="D11" s="8" t="s">
        <v>11</v>
      </c>
      <c r="E11" s="70">
        <v>-18</v>
      </c>
      <c r="F11" s="69" t="s">
        <v>88</v>
      </c>
      <c r="G11" s="71">
        <v>-48</v>
      </c>
      <c r="H11" s="67" t="s">
        <v>88</v>
      </c>
      <c r="I11" s="71">
        <v>746</v>
      </c>
      <c r="J11" s="67" t="s">
        <v>88</v>
      </c>
      <c r="K11" s="71">
        <v>1243</v>
      </c>
      <c r="L11" s="67" t="s">
        <v>88</v>
      </c>
      <c r="M11" s="71">
        <v>60</v>
      </c>
      <c r="N11" s="67">
        <f>M11/I11*100</f>
        <v>8.0428954423592494</v>
      </c>
      <c r="O11" s="71">
        <v>120.6</v>
      </c>
      <c r="P11" s="67">
        <f t="shared" si="2"/>
        <v>9.7023330651649218</v>
      </c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</row>
    <row r="12" spans="1:262" ht="23.25" x14ac:dyDescent="0.2">
      <c r="A12" s="22"/>
      <c r="B12" s="28" t="s">
        <v>14</v>
      </c>
      <c r="C12" s="54" t="s">
        <v>15</v>
      </c>
      <c r="D12" s="55"/>
      <c r="E12" s="66"/>
      <c r="F12" s="66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</row>
    <row r="13" spans="1:262" ht="37.5" x14ac:dyDescent="0.2">
      <c r="A13" s="62" t="s">
        <v>241</v>
      </c>
      <c r="B13" s="31" t="s">
        <v>16</v>
      </c>
      <c r="C13" s="32" t="s">
        <v>17</v>
      </c>
      <c r="D13" s="7" t="s">
        <v>9</v>
      </c>
      <c r="E13" s="72">
        <v>62.756</v>
      </c>
      <c r="F13" s="72">
        <v>100.87</v>
      </c>
      <c r="G13" s="67">
        <v>63.118000000000002</v>
      </c>
      <c r="H13" s="67">
        <f>G13/62.394*100</f>
        <v>101.16036798410104</v>
      </c>
      <c r="I13" s="67">
        <v>63.253999999999998</v>
      </c>
      <c r="J13" s="67">
        <f t="shared" si="0"/>
        <v>100.7935496207534</v>
      </c>
      <c r="K13" s="67">
        <v>63.389000000000003</v>
      </c>
      <c r="L13" s="67">
        <f t="shared" si="1"/>
        <v>100.42935454228588</v>
      </c>
      <c r="M13" s="67">
        <v>63.512999999999998</v>
      </c>
      <c r="N13" s="67">
        <f t="shared" ref="N13:N14" si="3">M13/I13*100</f>
        <v>100.40946027128719</v>
      </c>
      <c r="O13" s="67">
        <v>63.636000000000003</v>
      </c>
      <c r="P13" s="67">
        <f t="shared" si="2"/>
        <v>100.38965751155564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</row>
    <row r="14" spans="1:262" ht="56.25" x14ac:dyDescent="0.2">
      <c r="A14" s="62"/>
      <c r="B14" s="31" t="s">
        <v>18</v>
      </c>
      <c r="C14" s="32" t="s">
        <v>19</v>
      </c>
      <c r="D14" s="7" t="s">
        <v>9</v>
      </c>
      <c r="E14" s="72">
        <v>42.966999999999999</v>
      </c>
      <c r="F14" s="72">
        <v>100.71</v>
      </c>
      <c r="G14" s="67">
        <v>43.173000000000002</v>
      </c>
      <c r="H14" s="67">
        <f>G14/42.74*100</f>
        <v>101.01310248011231</v>
      </c>
      <c r="I14" s="67">
        <v>43.234000000000002</v>
      </c>
      <c r="J14" s="67">
        <f t="shared" si="0"/>
        <v>100.62140712639933</v>
      </c>
      <c r="K14" s="67">
        <v>43.295000000000002</v>
      </c>
      <c r="L14" s="67">
        <f t="shared" si="1"/>
        <v>100.28258402242143</v>
      </c>
      <c r="M14" s="67">
        <v>43.347999999999999</v>
      </c>
      <c r="N14" s="67">
        <f t="shared" si="3"/>
        <v>100.2636813618911</v>
      </c>
      <c r="O14" s="67">
        <v>43.4</v>
      </c>
      <c r="P14" s="67">
        <f t="shared" si="2"/>
        <v>100.24252223120452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spans="1:262" ht="37.5" x14ac:dyDescent="0.2">
      <c r="A15" s="63" t="s">
        <v>242</v>
      </c>
      <c r="B15" s="31" t="s">
        <v>20</v>
      </c>
      <c r="C15" s="32" t="s">
        <v>254</v>
      </c>
      <c r="D15" s="7" t="s">
        <v>21</v>
      </c>
      <c r="E15" s="73">
        <v>721</v>
      </c>
      <c r="F15" s="72">
        <v>90.35</v>
      </c>
      <c r="G15" s="71">
        <v>1255</v>
      </c>
      <c r="H15" s="67">
        <v>89.84</v>
      </c>
      <c r="I15" s="71">
        <v>743</v>
      </c>
      <c r="J15" s="67">
        <v>103.05</v>
      </c>
      <c r="K15" s="71">
        <v>1298</v>
      </c>
      <c r="L15" s="67">
        <v>103.43</v>
      </c>
      <c r="M15" s="71">
        <v>691</v>
      </c>
      <c r="N15" s="67">
        <v>93</v>
      </c>
      <c r="O15" s="71">
        <v>1303</v>
      </c>
      <c r="P15" s="67">
        <v>100.39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262" ht="23.25" customHeight="1" x14ac:dyDescent="0.2">
      <c r="A16" s="63"/>
      <c r="B16" s="31" t="s">
        <v>22</v>
      </c>
      <c r="C16" s="32" t="s">
        <v>23</v>
      </c>
      <c r="D16" s="7"/>
      <c r="E16" s="73">
        <v>11</v>
      </c>
      <c r="F16" s="72">
        <v>110</v>
      </c>
      <c r="G16" s="71">
        <v>14</v>
      </c>
      <c r="H16" s="67">
        <v>100</v>
      </c>
      <c r="I16" s="71">
        <v>3</v>
      </c>
      <c r="J16" s="67">
        <v>27.27</v>
      </c>
      <c r="K16" s="71">
        <v>13</v>
      </c>
      <c r="L16" s="67">
        <v>92.86</v>
      </c>
      <c r="M16" s="71">
        <v>9</v>
      </c>
      <c r="N16" s="67">
        <v>300</v>
      </c>
      <c r="O16" s="71">
        <v>13</v>
      </c>
      <c r="P16" s="67">
        <v>100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ht="23.25" customHeight="1" x14ac:dyDescent="0.3">
      <c r="A17" s="63"/>
      <c r="B17" s="31" t="s">
        <v>24</v>
      </c>
      <c r="C17" s="32" t="s">
        <v>25</v>
      </c>
      <c r="D17" s="7"/>
      <c r="E17" s="73">
        <v>710</v>
      </c>
      <c r="F17" s="72">
        <v>90.1</v>
      </c>
      <c r="G17" s="71">
        <v>1241</v>
      </c>
      <c r="H17" s="67">
        <v>89.73</v>
      </c>
      <c r="I17" s="71">
        <v>740</v>
      </c>
      <c r="J17" s="67">
        <v>104.23</v>
      </c>
      <c r="K17" s="71">
        <v>1285</v>
      </c>
      <c r="L17" s="67">
        <v>103.55</v>
      </c>
      <c r="M17" s="71">
        <v>682</v>
      </c>
      <c r="N17" s="67">
        <v>92.16</v>
      </c>
      <c r="O17" s="71">
        <v>1290</v>
      </c>
      <c r="P17" s="67">
        <v>100.39</v>
      </c>
      <c r="Q17" s="36"/>
      <c r="R17" s="56"/>
      <c r="S17" s="56"/>
      <c r="T17" s="56"/>
      <c r="U17" s="56"/>
      <c r="V17" s="56"/>
      <c r="W17" s="56"/>
      <c r="X17" s="36"/>
      <c r="Y17" s="36"/>
      <c r="Z17" s="36"/>
      <c r="AA17" s="36"/>
    </row>
    <row r="18" spans="1:27" ht="90" customHeight="1" x14ac:dyDescent="0.2">
      <c r="A18" s="22"/>
      <c r="B18" s="28" t="s">
        <v>26</v>
      </c>
      <c r="C18" s="54" t="s">
        <v>27</v>
      </c>
      <c r="D18" s="54"/>
      <c r="E18" s="74"/>
      <c r="F18" s="74"/>
      <c r="G18" s="67"/>
      <c r="H18" s="67"/>
      <c r="I18" s="67"/>
      <c r="J18" s="67"/>
      <c r="K18" s="67"/>
      <c r="L18" s="67"/>
      <c r="M18" s="67"/>
      <c r="N18" s="67"/>
      <c r="O18" s="67"/>
      <c r="P18" s="68"/>
      <c r="Q18" s="36"/>
      <c r="R18" s="51"/>
      <c r="S18" s="51"/>
      <c r="T18" s="51"/>
      <c r="U18" s="51"/>
      <c r="V18" s="51"/>
      <c r="W18" s="49"/>
      <c r="X18" s="36"/>
      <c r="Y18" s="36"/>
      <c r="Z18" s="36"/>
      <c r="AA18" s="36"/>
    </row>
    <row r="19" spans="1:27" ht="23.25" customHeight="1" x14ac:dyDescent="0.2">
      <c r="A19" s="62" t="s">
        <v>241</v>
      </c>
      <c r="B19" s="31"/>
      <c r="C19" s="33" t="s">
        <v>232</v>
      </c>
      <c r="D19" s="8" t="s">
        <v>28</v>
      </c>
      <c r="E19" s="75">
        <f>E21+E23+E25+E27</f>
        <v>68152.377000000008</v>
      </c>
      <c r="F19" s="75">
        <f>E19/53368.4015*100</f>
        <v>127.70173938973983</v>
      </c>
      <c r="G19" s="75">
        <f t="shared" ref="G19" si="4">G21+G23+G25+G27</f>
        <v>133371.6</v>
      </c>
      <c r="H19" s="67">
        <v>114.19</v>
      </c>
      <c r="I19" s="75">
        <f t="shared" ref="I19" si="5">I21+I23+I25+I27</f>
        <v>70966.331999999995</v>
      </c>
      <c r="J19" s="75">
        <f>I19/E19*100</f>
        <v>104.12891688282566</v>
      </c>
      <c r="K19" s="75">
        <f>K21+K23+K25+K27</f>
        <v>150930.40000000002</v>
      </c>
      <c r="L19" s="67">
        <v>113.17</v>
      </c>
      <c r="M19" s="67">
        <f t="shared" ref="M19" si="6">M21+M23+M25+M27</f>
        <v>76159.55</v>
      </c>
      <c r="N19" s="67">
        <f>M19/I19*100</f>
        <v>107.31786165868064</v>
      </c>
      <c r="O19" s="67">
        <f>O21+O23+O25+O27</f>
        <v>167154.02999999997</v>
      </c>
      <c r="P19" s="67">
        <f>O19/K19*100</f>
        <v>110.7490803708199</v>
      </c>
      <c r="Q19" s="36"/>
      <c r="R19" s="37"/>
      <c r="S19" s="37"/>
      <c r="T19" s="37"/>
      <c r="U19" s="37"/>
      <c r="V19" s="37"/>
      <c r="W19" s="37"/>
      <c r="X19" s="44"/>
      <c r="Y19" s="36"/>
      <c r="Z19" s="36"/>
      <c r="AA19" s="36"/>
    </row>
    <row r="20" spans="1:27" ht="56.25" x14ac:dyDescent="0.2">
      <c r="A20" s="62"/>
      <c r="B20" s="31" t="s">
        <v>29</v>
      </c>
      <c r="C20" s="33" t="s">
        <v>30</v>
      </c>
      <c r="D20" s="8" t="s">
        <v>31</v>
      </c>
      <c r="E20" s="69">
        <f>E19/53368.4015/1.074*100</f>
        <v>118.90292308169444</v>
      </c>
      <c r="F20" s="69" t="s">
        <v>88</v>
      </c>
      <c r="G20" s="67">
        <v>106.32</v>
      </c>
      <c r="H20" s="67" t="s">
        <v>88</v>
      </c>
      <c r="I20" s="67">
        <f>I19/E19/1.053*100</f>
        <v>98.887860287583734</v>
      </c>
      <c r="J20" s="75" t="s">
        <v>88</v>
      </c>
      <c r="K20" s="67">
        <v>107.47</v>
      </c>
      <c r="L20" s="67" t="s">
        <v>88</v>
      </c>
      <c r="M20" s="67">
        <f>M19/I19/1.098*100</f>
        <v>97.739400417741933</v>
      </c>
      <c r="N20" s="67" t="s">
        <v>88</v>
      </c>
      <c r="O20" s="67">
        <f>O19/K19/1.098*100</f>
        <v>100.86437192242248</v>
      </c>
      <c r="P20" s="67" t="s">
        <v>88</v>
      </c>
      <c r="Q20" s="45"/>
      <c r="R20" s="37"/>
      <c r="S20" s="37"/>
      <c r="T20" s="37"/>
      <c r="U20" s="37"/>
      <c r="V20" s="37"/>
      <c r="W20" s="37"/>
      <c r="X20" s="44"/>
      <c r="Y20" s="36"/>
      <c r="Z20" s="36"/>
      <c r="AA20" s="36"/>
    </row>
    <row r="21" spans="1:27" ht="20.25" x14ac:dyDescent="0.3">
      <c r="A21" s="62"/>
      <c r="B21" s="31" t="s">
        <v>32</v>
      </c>
      <c r="C21" s="33" t="s">
        <v>33</v>
      </c>
      <c r="D21" s="8" t="s">
        <v>28</v>
      </c>
      <c r="E21" s="69">
        <v>51138.641000000003</v>
      </c>
      <c r="F21" s="69">
        <f>E21/37606.1079*100</f>
        <v>135.98493397930181</v>
      </c>
      <c r="G21" s="75">
        <v>95904.8</v>
      </c>
      <c r="H21" s="67">
        <v>115.63</v>
      </c>
      <c r="I21" s="67">
        <v>49649.735999999997</v>
      </c>
      <c r="J21" s="75">
        <f t="shared" ref="J21:J27" si="7">I21/E21*100</f>
        <v>97.088493219833495</v>
      </c>
      <c r="K21" s="75">
        <v>107584.2</v>
      </c>
      <c r="L21" s="67">
        <f>K21/G21*100</f>
        <v>112.17811830064815</v>
      </c>
      <c r="M21" s="67">
        <v>54564.480000000003</v>
      </c>
      <c r="N21" s="67">
        <f t="shared" ref="N21:N27" si="8">M21/I21*100</f>
        <v>109.89883209046671</v>
      </c>
      <c r="O21" s="67">
        <v>121032.23</v>
      </c>
      <c r="P21" s="67">
        <f>O21/K21*100</f>
        <v>112.50000464752259</v>
      </c>
      <c r="Q21" s="46"/>
      <c r="R21" s="37"/>
      <c r="S21" s="37"/>
      <c r="T21" s="37"/>
      <c r="U21" s="37"/>
      <c r="V21" s="37"/>
      <c r="W21" s="37"/>
      <c r="X21" s="44"/>
      <c r="Y21" s="36"/>
      <c r="Z21" s="36"/>
      <c r="AA21" s="36"/>
    </row>
    <row r="22" spans="1:27" ht="56.25" x14ac:dyDescent="0.3">
      <c r="A22" s="62"/>
      <c r="B22" s="31" t="s">
        <v>34</v>
      </c>
      <c r="C22" s="33" t="s">
        <v>35</v>
      </c>
      <c r="D22" s="8" t="s">
        <v>31</v>
      </c>
      <c r="E22" s="69">
        <f>E21/37606.1079/1.149*100</f>
        <v>118.35068231444892</v>
      </c>
      <c r="F22" s="69" t="s">
        <v>88</v>
      </c>
      <c r="G22" s="75">
        <v>100.64</v>
      </c>
      <c r="H22" s="67" t="s">
        <v>88</v>
      </c>
      <c r="I22" s="67">
        <f>I21/E21/1.039*100</f>
        <v>93.444170567693448</v>
      </c>
      <c r="J22" s="75" t="s">
        <v>88</v>
      </c>
      <c r="K22" s="75">
        <v>107.97</v>
      </c>
      <c r="L22" s="67" t="s">
        <v>88</v>
      </c>
      <c r="M22" s="67">
        <f>M21/I21/1.116*100</f>
        <v>98.475655995041848</v>
      </c>
      <c r="N22" s="67" t="s">
        <v>88</v>
      </c>
      <c r="O22" s="67">
        <v>100.81</v>
      </c>
      <c r="P22" s="67" t="s">
        <v>88</v>
      </c>
      <c r="Q22" s="46"/>
      <c r="R22" s="37"/>
      <c r="S22" s="37"/>
      <c r="T22" s="37"/>
      <c r="U22" s="37"/>
      <c r="V22" s="37"/>
      <c r="W22" s="37"/>
      <c r="X22" s="44"/>
      <c r="Y22" s="36"/>
      <c r="Z22" s="36"/>
      <c r="AA22" s="36"/>
    </row>
    <row r="23" spans="1:27" ht="23.25" customHeight="1" x14ac:dyDescent="0.3">
      <c r="A23" s="62"/>
      <c r="B23" s="31" t="s">
        <v>36</v>
      </c>
      <c r="C23" s="33" t="s">
        <v>37</v>
      </c>
      <c r="D23" s="8" t="s">
        <v>28</v>
      </c>
      <c r="E23" s="69">
        <v>5225.3810000000003</v>
      </c>
      <c r="F23" s="69">
        <f>E23/5341.2579*100</f>
        <v>97.830531643117268</v>
      </c>
      <c r="G23" s="75">
        <v>10641.8</v>
      </c>
      <c r="H23" s="67">
        <v>91.42</v>
      </c>
      <c r="I23" s="67">
        <v>6485.393</v>
      </c>
      <c r="J23" s="75">
        <f t="shared" si="7"/>
        <v>124.1133038911421</v>
      </c>
      <c r="K23" s="75">
        <v>12798.8</v>
      </c>
      <c r="L23" s="67">
        <f>K23/G23*100</f>
        <v>120.26912740325886</v>
      </c>
      <c r="M23" s="67">
        <v>6467.07</v>
      </c>
      <c r="N23" s="67">
        <f t="shared" si="8"/>
        <v>99.717472788464775</v>
      </c>
      <c r="O23" s="67">
        <v>13514</v>
      </c>
      <c r="P23" s="67">
        <f>O23/K23*100</f>
        <v>105.58802387723848</v>
      </c>
      <c r="Q23" s="46"/>
      <c r="R23" s="37"/>
      <c r="S23" s="37"/>
      <c r="T23" s="37"/>
      <c r="U23" s="37"/>
      <c r="V23" s="37"/>
      <c r="W23" s="37"/>
      <c r="X23" s="44"/>
      <c r="Y23" s="36"/>
      <c r="Z23" s="36"/>
      <c r="AA23" s="36"/>
    </row>
    <row r="24" spans="1:27" ht="56.25" x14ac:dyDescent="0.3">
      <c r="A24" s="62"/>
      <c r="B24" s="31" t="s">
        <v>38</v>
      </c>
      <c r="C24" s="33" t="s">
        <v>35</v>
      </c>
      <c r="D24" s="8" t="s">
        <v>31</v>
      </c>
      <c r="E24" s="69">
        <f>E23/5341.2579/1.053*100</f>
        <v>92.90648779023482</v>
      </c>
      <c r="F24" s="69" t="s">
        <v>88</v>
      </c>
      <c r="G24" s="75">
        <v>86.82</v>
      </c>
      <c r="H24" s="67" t="s">
        <v>88</v>
      </c>
      <c r="I24" s="67">
        <f>I23/E23/1.037*100</f>
        <v>119.68496035789981</v>
      </c>
      <c r="J24" s="75" t="s">
        <v>88</v>
      </c>
      <c r="K24" s="75">
        <v>115.98</v>
      </c>
      <c r="L24" s="67" t="s">
        <v>88</v>
      </c>
      <c r="M24" s="67">
        <f>M23/I23/1.095*100</f>
        <v>91.066185194945007</v>
      </c>
      <c r="N24" s="67" t="s">
        <v>88</v>
      </c>
      <c r="O24" s="67">
        <v>96.43</v>
      </c>
      <c r="P24" s="67" t="s">
        <v>88</v>
      </c>
      <c r="Q24" s="46"/>
      <c r="R24" s="37"/>
      <c r="S24" s="37"/>
      <c r="T24" s="37"/>
      <c r="U24" s="37"/>
      <c r="V24" s="37"/>
      <c r="W24" s="37"/>
      <c r="X24" s="44"/>
      <c r="Y24" s="36"/>
      <c r="Z24" s="36"/>
      <c r="AA24" s="36"/>
    </row>
    <row r="25" spans="1:27" ht="37.5" x14ac:dyDescent="0.3">
      <c r="A25" s="62"/>
      <c r="B25" s="31" t="s">
        <v>39</v>
      </c>
      <c r="C25" s="33" t="s">
        <v>40</v>
      </c>
      <c r="D25" s="8" t="s">
        <v>28</v>
      </c>
      <c r="E25" s="69">
        <v>7161.4369999999999</v>
      </c>
      <c r="F25" s="69">
        <f>E25/7165.6189*100</f>
        <v>99.941639374653306</v>
      </c>
      <c r="G25" s="75">
        <v>16372.7</v>
      </c>
      <c r="H25" s="67">
        <v>112.36</v>
      </c>
      <c r="I25" s="67">
        <v>9865.83</v>
      </c>
      <c r="J25" s="75">
        <f t="shared" si="7"/>
        <v>137.76327292972067</v>
      </c>
      <c r="K25" s="75">
        <v>19792.2</v>
      </c>
      <c r="L25" s="67">
        <f>K25/G25*100</f>
        <v>120.8853762665901</v>
      </c>
      <c r="M25" s="67">
        <v>10081.719999999999</v>
      </c>
      <c r="N25" s="67">
        <f t="shared" si="8"/>
        <v>102.18825988284817</v>
      </c>
      <c r="O25" s="67">
        <v>21422.400000000001</v>
      </c>
      <c r="P25" s="67">
        <f>O25/K25*100</f>
        <v>108.23657804589688</v>
      </c>
      <c r="Q25" s="46"/>
      <c r="R25" s="37"/>
      <c r="S25" s="37"/>
      <c r="T25" s="37"/>
      <c r="U25" s="37"/>
      <c r="V25" s="37"/>
      <c r="W25" s="37"/>
      <c r="X25" s="44"/>
      <c r="Y25" s="36"/>
      <c r="Z25" s="36"/>
      <c r="AA25" s="36"/>
    </row>
    <row r="26" spans="1:27" ht="56.25" x14ac:dyDescent="0.3">
      <c r="A26" s="62"/>
      <c r="B26" s="31" t="s">
        <v>41</v>
      </c>
      <c r="C26" s="33" t="s">
        <v>35</v>
      </c>
      <c r="D26" s="8" t="s">
        <v>31</v>
      </c>
      <c r="E26" s="69">
        <f>E25/7165.6189/1.039*100</f>
        <v>96.190220764825142</v>
      </c>
      <c r="F26" s="69" t="s">
        <v>88</v>
      </c>
      <c r="G26" s="75">
        <v>108.14</v>
      </c>
      <c r="H26" s="67" t="s">
        <v>88</v>
      </c>
      <c r="I26" s="67">
        <f>I25/E25/1.107*100</f>
        <v>124.44740102052454</v>
      </c>
      <c r="J26" s="75" t="s">
        <v>88</v>
      </c>
      <c r="K26" s="75">
        <v>109.2</v>
      </c>
      <c r="L26" s="67" t="s">
        <v>88</v>
      </c>
      <c r="M26" s="67">
        <f>M25/I25/1.058*100</f>
        <v>96.586256978117362</v>
      </c>
      <c r="N26" s="67" t="s">
        <v>88</v>
      </c>
      <c r="O26" s="67">
        <v>102.3</v>
      </c>
      <c r="P26" s="67" t="s">
        <v>88</v>
      </c>
      <c r="Q26" s="46"/>
      <c r="R26" s="37"/>
      <c r="S26" s="37"/>
      <c r="T26" s="37"/>
      <c r="U26" s="37"/>
      <c r="V26" s="37"/>
      <c r="W26" s="37"/>
      <c r="X26" s="44"/>
      <c r="Y26" s="36"/>
      <c r="Z26" s="36"/>
      <c r="AA26" s="36"/>
    </row>
    <row r="27" spans="1:27" ht="56.25" x14ac:dyDescent="0.3">
      <c r="A27" s="62"/>
      <c r="B27" s="31" t="s">
        <v>42</v>
      </c>
      <c r="C27" s="33" t="s">
        <v>43</v>
      </c>
      <c r="D27" s="8" t="s">
        <v>28</v>
      </c>
      <c r="E27" s="69">
        <v>4626.9179999999997</v>
      </c>
      <c r="F27" s="69">
        <f>E27/3255.4168*100</f>
        <v>142.12981882995749</v>
      </c>
      <c r="G27" s="75">
        <v>10452.299999999999</v>
      </c>
      <c r="H27" s="67">
        <v>136.65</v>
      </c>
      <c r="I27" s="67">
        <v>4965.3729999999996</v>
      </c>
      <c r="J27" s="75">
        <f t="shared" si="7"/>
        <v>107.31491243199036</v>
      </c>
      <c r="K27" s="75">
        <v>10755.2</v>
      </c>
      <c r="L27" s="67">
        <f>K27/G27*100</f>
        <v>102.89792677209802</v>
      </c>
      <c r="M27" s="67">
        <v>5046.28</v>
      </c>
      <c r="N27" s="67">
        <f t="shared" si="8"/>
        <v>101.62942441584953</v>
      </c>
      <c r="O27" s="67">
        <v>11185.4</v>
      </c>
      <c r="P27" s="67">
        <f>O27/K27*100</f>
        <v>103.99992561737577</v>
      </c>
      <c r="Q27" s="46"/>
      <c r="R27" s="37"/>
      <c r="S27" s="37"/>
      <c r="T27" s="37"/>
      <c r="U27" s="37"/>
      <c r="V27" s="37"/>
      <c r="W27" s="37"/>
      <c r="X27" s="44"/>
      <c r="Y27" s="36"/>
      <c r="Z27" s="36"/>
      <c r="AA27" s="36"/>
    </row>
    <row r="28" spans="1:27" ht="56.25" x14ac:dyDescent="0.3">
      <c r="A28" s="62"/>
      <c r="B28" s="31" t="s">
        <v>44</v>
      </c>
      <c r="C28" s="33" t="s">
        <v>35</v>
      </c>
      <c r="D28" s="8" t="s">
        <v>31</v>
      </c>
      <c r="E28" s="69">
        <f>E27/3255.4168/1.019*100</f>
        <v>139.47970444549313</v>
      </c>
      <c r="F28" s="69" t="s">
        <v>88</v>
      </c>
      <c r="G28" s="75">
        <v>134.1</v>
      </c>
      <c r="H28" s="67" t="s">
        <v>88</v>
      </c>
      <c r="I28" s="67">
        <f>I27/E27/1.144*100</f>
        <v>93.806741636355213</v>
      </c>
      <c r="J28" s="67" t="s">
        <v>88</v>
      </c>
      <c r="K28" s="75">
        <v>89.95</v>
      </c>
      <c r="L28" s="67" t="s">
        <v>88</v>
      </c>
      <c r="M28" s="67">
        <f>M27/I27/1.067*100</f>
        <v>95.247820445969566</v>
      </c>
      <c r="N28" s="67" t="s">
        <v>88</v>
      </c>
      <c r="O28" s="67">
        <v>97.47</v>
      </c>
      <c r="P28" s="67" t="s">
        <v>88</v>
      </c>
      <c r="Q28" s="47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ht="23.25" customHeight="1" x14ac:dyDescent="0.2">
      <c r="A29" s="62"/>
      <c r="B29" s="28" t="s">
        <v>45</v>
      </c>
      <c r="C29" s="54" t="s">
        <v>46</v>
      </c>
      <c r="D29" s="55"/>
      <c r="E29" s="66"/>
      <c r="F29" s="66"/>
      <c r="G29" s="67"/>
      <c r="H29" s="67"/>
      <c r="I29" s="67"/>
      <c r="J29" s="67"/>
      <c r="K29" s="68"/>
      <c r="L29" s="68"/>
      <c r="M29" s="68"/>
      <c r="N29" s="68"/>
      <c r="O29" s="68"/>
      <c r="P29" s="68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ht="23.25" customHeight="1" x14ac:dyDescent="0.2">
      <c r="A30" s="62"/>
      <c r="B30" s="31" t="s">
        <v>47</v>
      </c>
      <c r="C30" s="33" t="s">
        <v>48</v>
      </c>
      <c r="D30" s="8" t="s">
        <v>49</v>
      </c>
      <c r="E30" s="69" t="s">
        <v>258</v>
      </c>
      <c r="F30" s="69" t="s">
        <v>88</v>
      </c>
      <c r="G30" s="67" t="s">
        <v>258</v>
      </c>
      <c r="H30" s="67" t="s">
        <v>88</v>
      </c>
      <c r="I30" s="67" t="s">
        <v>258</v>
      </c>
      <c r="J30" s="67" t="s">
        <v>88</v>
      </c>
      <c r="K30" s="67" t="s">
        <v>258</v>
      </c>
      <c r="L30" s="67" t="s">
        <v>88</v>
      </c>
      <c r="M30" s="67" t="s">
        <v>258</v>
      </c>
      <c r="N30" s="67" t="s">
        <v>88</v>
      </c>
      <c r="O30" s="76" t="s">
        <v>258</v>
      </c>
      <c r="P30" s="76" t="s">
        <v>88</v>
      </c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ht="23.25" customHeight="1" x14ac:dyDescent="0.2">
      <c r="A31" s="62"/>
      <c r="B31" s="31" t="s">
        <v>50</v>
      </c>
      <c r="C31" s="33" t="s">
        <v>51</v>
      </c>
      <c r="D31" s="8" t="s">
        <v>52</v>
      </c>
      <c r="E31" s="69" t="s">
        <v>258</v>
      </c>
      <c r="F31" s="69" t="s">
        <v>88</v>
      </c>
      <c r="G31" s="67" t="s">
        <v>258</v>
      </c>
      <c r="H31" s="67" t="s">
        <v>88</v>
      </c>
      <c r="I31" s="67" t="s">
        <v>258</v>
      </c>
      <c r="J31" s="67" t="s">
        <v>88</v>
      </c>
      <c r="K31" s="67" t="s">
        <v>258</v>
      </c>
      <c r="L31" s="67" t="s">
        <v>88</v>
      </c>
      <c r="M31" s="67" t="s">
        <v>258</v>
      </c>
      <c r="N31" s="67" t="s">
        <v>88</v>
      </c>
      <c r="O31" s="76" t="s">
        <v>258</v>
      </c>
      <c r="P31" s="76" t="s">
        <v>88</v>
      </c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ht="23.25" customHeight="1" x14ac:dyDescent="0.2">
      <c r="A32" s="62"/>
      <c r="B32" s="31" t="s">
        <v>53</v>
      </c>
      <c r="C32" s="33" t="s">
        <v>54</v>
      </c>
      <c r="D32" s="8" t="s">
        <v>55</v>
      </c>
      <c r="E32" s="69" t="s">
        <v>258</v>
      </c>
      <c r="F32" s="69" t="s">
        <v>88</v>
      </c>
      <c r="G32" s="67">
        <v>0.15</v>
      </c>
      <c r="H32" s="67" t="s">
        <v>88</v>
      </c>
      <c r="I32" s="67" t="s">
        <v>258</v>
      </c>
      <c r="J32" s="67" t="s">
        <v>88</v>
      </c>
      <c r="K32" s="67">
        <v>0.19</v>
      </c>
      <c r="L32" s="67">
        <f>K32/G32*100</f>
        <v>126.66666666666669</v>
      </c>
      <c r="M32" s="67" t="s">
        <v>258</v>
      </c>
      <c r="N32" s="67" t="s">
        <v>88</v>
      </c>
      <c r="O32" s="76" t="s">
        <v>258</v>
      </c>
      <c r="P32" s="76" t="s">
        <v>88</v>
      </c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ht="23.25" customHeight="1" x14ac:dyDescent="0.2">
      <c r="A33" s="62"/>
      <c r="B33" s="31" t="s">
        <v>56</v>
      </c>
      <c r="C33" s="33" t="s">
        <v>57</v>
      </c>
      <c r="D33" s="8" t="s">
        <v>58</v>
      </c>
      <c r="E33" s="69" t="s">
        <v>258</v>
      </c>
      <c r="F33" s="69" t="s">
        <v>88</v>
      </c>
      <c r="G33" s="67" t="s">
        <v>258</v>
      </c>
      <c r="H33" s="67" t="s">
        <v>88</v>
      </c>
      <c r="I33" s="67" t="s">
        <v>258</v>
      </c>
      <c r="J33" s="67" t="s">
        <v>88</v>
      </c>
      <c r="K33" s="67" t="s">
        <v>258</v>
      </c>
      <c r="L33" s="67" t="s">
        <v>88</v>
      </c>
      <c r="M33" s="67" t="s">
        <v>258</v>
      </c>
      <c r="N33" s="67" t="s">
        <v>88</v>
      </c>
      <c r="O33" s="76" t="s">
        <v>258</v>
      </c>
      <c r="P33" s="76" t="s">
        <v>88</v>
      </c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</row>
    <row r="34" spans="1:27" ht="23.25" customHeight="1" x14ac:dyDescent="0.2">
      <c r="A34" s="62"/>
      <c r="B34" s="31" t="s">
        <v>59</v>
      </c>
      <c r="C34" s="33" t="s">
        <v>60</v>
      </c>
      <c r="D34" s="8" t="s">
        <v>58</v>
      </c>
      <c r="E34" s="69" t="s">
        <v>258</v>
      </c>
      <c r="F34" s="69" t="s">
        <v>88</v>
      </c>
      <c r="G34" s="67" t="s">
        <v>258</v>
      </c>
      <c r="H34" s="67" t="s">
        <v>88</v>
      </c>
      <c r="I34" s="67" t="s">
        <v>258</v>
      </c>
      <c r="J34" s="67" t="s">
        <v>88</v>
      </c>
      <c r="K34" s="67" t="s">
        <v>258</v>
      </c>
      <c r="L34" s="67" t="s">
        <v>88</v>
      </c>
      <c r="M34" s="67" t="s">
        <v>258</v>
      </c>
      <c r="N34" s="67" t="s">
        <v>88</v>
      </c>
      <c r="O34" s="76" t="s">
        <v>258</v>
      </c>
      <c r="P34" s="76" t="s">
        <v>88</v>
      </c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</row>
    <row r="35" spans="1:27" ht="23.25" customHeight="1" x14ac:dyDescent="0.2">
      <c r="A35" s="62"/>
      <c r="B35" s="31" t="s">
        <v>61</v>
      </c>
      <c r="C35" s="33" t="s">
        <v>62</v>
      </c>
      <c r="D35" s="8" t="s">
        <v>58</v>
      </c>
      <c r="E35" s="69" t="s">
        <v>258</v>
      </c>
      <c r="F35" s="69" t="s">
        <v>88</v>
      </c>
      <c r="G35" s="67" t="s">
        <v>258</v>
      </c>
      <c r="H35" s="67" t="s">
        <v>88</v>
      </c>
      <c r="I35" s="67" t="s">
        <v>258</v>
      </c>
      <c r="J35" s="67" t="s">
        <v>88</v>
      </c>
      <c r="K35" s="67" t="s">
        <v>258</v>
      </c>
      <c r="L35" s="67" t="s">
        <v>88</v>
      </c>
      <c r="M35" s="67" t="s">
        <v>258</v>
      </c>
      <c r="N35" s="67" t="s">
        <v>88</v>
      </c>
      <c r="O35" s="76" t="s">
        <v>258</v>
      </c>
      <c r="P35" s="76" t="s">
        <v>88</v>
      </c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</row>
    <row r="36" spans="1:27" ht="23.25" customHeight="1" x14ac:dyDescent="0.2">
      <c r="A36" s="62"/>
      <c r="B36" s="31" t="s">
        <v>63</v>
      </c>
      <c r="C36" s="33" t="s">
        <v>64</v>
      </c>
      <c r="D36" s="8" t="s">
        <v>58</v>
      </c>
      <c r="E36" s="69" t="s">
        <v>258</v>
      </c>
      <c r="F36" s="69" t="s">
        <v>88</v>
      </c>
      <c r="G36" s="67" t="s">
        <v>258</v>
      </c>
      <c r="H36" s="67" t="s">
        <v>88</v>
      </c>
      <c r="I36" s="67" t="s">
        <v>258</v>
      </c>
      <c r="J36" s="67" t="s">
        <v>88</v>
      </c>
      <c r="K36" s="67" t="s">
        <v>258</v>
      </c>
      <c r="L36" s="67" t="s">
        <v>88</v>
      </c>
      <c r="M36" s="67" t="s">
        <v>258</v>
      </c>
      <c r="N36" s="67" t="s">
        <v>88</v>
      </c>
      <c r="O36" s="76" t="s">
        <v>258</v>
      </c>
      <c r="P36" s="76" t="s">
        <v>88</v>
      </c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</row>
    <row r="37" spans="1:27" ht="23.25" customHeight="1" x14ac:dyDescent="0.2">
      <c r="A37" s="62"/>
      <c r="B37" s="31" t="s">
        <v>65</v>
      </c>
      <c r="C37" s="33" t="s">
        <v>66</v>
      </c>
      <c r="D37" s="8" t="s">
        <v>67</v>
      </c>
      <c r="E37" s="69" t="s">
        <v>258</v>
      </c>
      <c r="F37" s="69" t="s">
        <v>88</v>
      </c>
      <c r="G37" s="67" t="s">
        <v>258</v>
      </c>
      <c r="H37" s="67" t="s">
        <v>88</v>
      </c>
      <c r="I37" s="67" t="s">
        <v>258</v>
      </c>
      <c r="J37" s="67" t="s">
        <v>88</v>
      </c>
      <c r="K37" s="67" t="s">
        <v>258</v>
      </c>
      <c r="L37" s="67" t="s">
        <v>88</v>
      </c>
      <c r="M37" s="67" t="s">
        <v>258</v>
      </c>
      <c r="N37" s="67" t="s">
        <v>88</v>
      </c>
      <c r="O37" s="76" t="s">
        <v>258</v>
      </c>
      <c r="P37" s="76" t="s">
        <v>88</v>
      </c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</row>
    <row r="38" spans="1:27" ht="23.25" customHeight="1" x14ac:dyDescent="0.2">
      <c r="A38" s="62"/>
      <c r="B38" s="31" t="s">
        <v>68</v>
      </c>
      <c r="C38" s="33" t="s">
        <v>69</v>
      </c>
      <c r="D38" s="8" t="s">
        <v>67</v>
      </c>
      <c r="E38" s="69" t="s">
        <v>258</v>
      </c>
      <c r="F38" s="69" t="s">
        <v>88</v>
      </c>
      <c r="G38" s="67" t="s">
        <v>258</v>
      </c>
      <c r="H38" s="67" t="s">
        <v>88</v>
      </c>
      <c r="I38" s="67" t="s">
        <v>258</v>
      </c>
      <c r="J38" s="67" t="s">
        <v>88</v>
      </c>
      <c r="K38" s="67" t="s">
        <v>258</v>
      </c>
      <c r="L38" s="67" t="s">
        <v>88</v>
      </c>
      <c r="M38" s="67" t="s">
        <v>258</v>
      </c>
      <c r="N38" s="67" t="s">
        <v>88</v>
      </c>
      <c r="O38" s="76" t="s">
        <v>258</v>
      </c>
      <c r="P38" s="76" t="s">
        <v>88</v>
      </c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</row>
    <row r="39" spans="1:27" ht="23.25" customHeight="1" x14ac:dyDescent="0.2">
      <c r="A39" s="62"/>
      <c r="B39" s="31" t="s">
        <v>70</v>
      </c>
      <c r="C39" s="33" t="s">
        <v>71</v>
      </c>
      <c r="D39" s="8" t="s">
        <v>72</v>
      </c>
      <c r="E39" s="69" t="s">
        <v>258</v>
      </c>
      <c r="F39" s="69" t="s">
        <v>88</v>
      </c>
      <c r="G39" s="67" t="s">
        <v>258</v>
      </c>
      <c r="H39" s="67" t="s">
        <v>88</v>
      </c>
      <c r="I39" s="67" t="s">
        <v>258</v>
      </c>
      <c r="J39" s="67" t="s">
        <v>88</v>
      </c>
      <c r="K39" s="67" t="s">
        <v>258</v>
      </c>
      <c r="L39" s="67" t="s">
        <v>88</v>
      </c>
      <c r="M39" s="67" t="s">
        <v>258</v>
      </c>
      <c r="N39" s="67" t="s">
        <v>88</v>
      </c>
      <c r="O39" s="76" t="s">
        <v>258</v>
      </c>
      <c r="P39" s="76" t="s">
        <v>88</v>
      </c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</row>
    <row r="40" spans="1:27" ht="23.25" customHeight="1" x14ac:dyDescent="0.2">
      <c r="A40" s="62"/>
      <c r="B40" s="31" t="s">
        <v>73</v>
      </c>
      <c r="C40" s="33" t="s">
        <v>74</v>
      </c>
      <c r="D40" s="8" t="s">
        <v>75</v>
      </c>
      <c r="E40" s="69" t="s">
        <v>258</v>
      </c>
      <c r="F40" s="69" t="s">
        <v>88</v>
      </c>
      <c r="G40" s="67" t="s">
        <v>258</v>
      </c>
      <c r="H40" s="67" t="s">
        <v>88</v>
      </c>
      <c r="I40" s="67" t="s">
        <v>258</v>
      </c>
      <c r="J40" s="67" t="s">
        <v>88</v>
      </c>
      <c r="K40" s="67" t="s">
        <v>258</v>
      </c>
      <c r="L40" s="67" t="s">
        <v>88</v>
      </c>
      <c r="M40" s="67" t="s">
        <v>258</v>
      </c>
      <c r="N40" s="67" t="s">
        <v>88</v>
      </c>
      <c r="O40" s="76" t="s">
        <v>258</v>
      </c>
      <c r="P40" s="76" t="s">
        <v>88</v>
      </c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</row>
    <row r="41" spans="1:27" ht="23.25" customHeight="1" x14ac:dyDescent="0.2">
      <c r="A41" s="62"/>
      <c r="B41" s="31" t="s">
        <v>76</v>
      </c>
      <c r="C41" s="33" t="s">
        <v>77</v>
      </c>
      <c r="D41" s="8" t="s">
        <v>78</v>
      </c>
      <c r="E41" s="69" t="s">
        <v>258</v>
      </c>
      <c r="F41" s="69" t="s">
        <v>88</v>
      </c>
      <c r="G41" s="67" t="s">
        <v>258</v>
      </c>
      <c r="H41" s="67" t="s">
        <v>88</v>
      </c>
      <c r="I41" s="67" t="s">
        <v>258</v>
      </c>
      <c r="J41" s="67" t="s">
        <v>88</v>
      </c>
      <c r="K41" s="67" t="s">
        <v>258</v>
      </c>
      <c r="L41" s="67" t="s">
        <v>88</v>
      </c>
      <c r="M41" s="67" t="s">
        <v>258</v>
      </c>
      <c r="N41" s="67" t="s">
        <v>88</v>
      </c>
      <c r="O41" s="76" t="s">
        <v>258</v>
      </c>
      <c r="P41" s="76" t="s">
        <v>88</v>
      </c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</row>
    <row r="42" spans="1:27" ht="23.25" customHeight="1" x14ac:dyDescent="0.2">
      <c r="A42" s="62"/>
      <c r="B42" s="31" t="s">
        <v>79</v>
      </c>
      <c r="C42" s="33" t="s">
        <v>80</v>
      </c>
      <c r="D42" s="8" t="s">
        <v>78</v>
      </c>
      <c r="E42" s="69" t="s">
        <v>258</v>
      </c>
      <c r="F42" s="69" t="s">
        <v>88</v>
      </c>
      <c r="G42" s="67" t="s">
        <v>258</v>
      </c>
      <c r="H42" s="67" t="s">
        <v>88</v>
      </c>
      <c r="I42" s="67" t="s">
        <v>258</v>
      </c>
      <c r="J42" s="67" t="s">
        <v>88</v>
      </c>
      <c r="K42" s="67" t="s">
        <v>258</v>
      </c>
      <c r="L42" s="67" t="s">
        <v>88</v>
      </c>
      <c r="M42" s="67" t="s">
        <v>258</v>
      </c>
      <c r="N42" s="67" t="s">
        <v>88</v>
      </c>
      <c r="O42" s="76" t="s">
        <v>258</v>
      </c>
      <c r="P42" s="76" t="s">
        <v>88</v>
      </c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</row>
    <row r="43" spans="1:27" ht="23.25" customHeight="1" x14ac:dyDescent="0.2">
      <c r="A43" s="62"/>
      <c r="B43" s="31" t="s">
        <v>81</v>
      </c>
      <c r="C43" s="33" t="s">
        <v>82</v>
      </c>
      <c r="D43" s="8" t="s">
        <v>78</v>
      </c>
      <c r="E43" s="69" t="s">
        <v>258</v>
      </c>
      <c r="F43" s="69" t="s">
        <v>88</v>
      </c>
      <c r="G43" s="67" t="s">
        <v>258</v>
      </c>
      <c r="H43" s="67" t="s">
        <v>88</v>
      </c>
      <c r="I43" s="67" t="s">
        <v>258</v>
      </c>
      <c r="J43" s="67" t="s">
        <v>88</v>
      </c>
      <c r="K43" s="67" t="s">
        <v>258</v>
      </c>
      <c r="L43" s="67" t="s">
        <v>88</v>
      </c>
      <c r="M43" s="67" t="s">
        <v>258</v>
      </c>
      <c r="N43" s="67" t="s">
        <v>88</v>
      </c>
      <c r="O43" s="76" t="s">
        <v>258</v>
      </c>
      <c r="P43" s="76" t="s">
        <v>88</v>
      </c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</row>
    <row r="44" spans="1:27" ht="23.25" customHeight="1" x14ac:dyDescent="0.2">
      <c r="A44" s="62"/>
      <c r="B44" s="31" t="s">
        <v>83</v>
      </c>
      <c r="C44" s="33" t="s">
        <v>84</v>
      </c>
      <c r="D44" s="8" t="s">
        <v>67</v>
      </c>
      <c r="E44" s="69" t="s">
        <v>258</v>
      </c>
      <c r="F44" s="69" t="s">
        <v>88</v>
      </c>
      <c r="G44" s="67" t="s">
        <v>258</v>
      </c>
      <c r="H44" s="67" t="s">
        <v>88</v>
      </c>
      <c r="I44" s="67" t="s">
        <v>258</v>
      </c>
      <c r="J44" s="67" t="s">
        <v>88</v>
      </c>
      <c r="K44" s="67" t="s">
        <v>258</v>
      </c>
      <c r="L44" s="67" t="s">
        <v>88</v>
      </c>
      <c r="M44" s="67" t="s">
        <v>258</v>
      </c>
      <c r="N44" s="67" t="s">
        <v>88</v>
      </c>
      <c r="O44" s="76" t="s">
        <v>258</v>
      </c>
      <c r="P44" s="76" t="s">
        <v>88</v>
      </c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</row>
    <row r="45" spans="1:27" ht="23.25" customHeight="1" x14ac:dyDescent="0.2">
      <c r="A45" s="62"/>
      <c r="B45" s="28" t="s">
        <v>85</v>
      </c>
      <c r="C45" s="54" t="s">
        <v>86</v>
      </c>
      <c r="D45" s="55"/>
      <c r="E45" s="77"/>
      <c r="F45" s="77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36"/>
      <c r="R45" s="49"/>
      <c r="S45" s="49"/>
      <c r="T45" s="49"/>
      <c r="U45" s="49"/>
      <c r="V45" s="49"/>
      <c r="W45" s="49"/>
      <c r="X45" s="49"/>
      <c r="Y45" s="49"/>
      <c r="Z45" s="49"/>
      <c r="AA45" s="36"/>
    </row>
    <row r="46" spans="1:27" ht="35.25" customHeight="1" x14ac:dyDescent="0.2">
      <c r="A46" s="62"/>
      <c r="B46" s="31"/>
      <c r="C46" s="33" t="s">
        <v>233</v>
      </c>
      <c r="D46" s="8" t="s">
        <v>87</v>
      </c>
      <c r="E46" s="69">
        <v>19558.21</v>
      </c>
      <c r="F46" s="69">
        <f>E46/11822.62*100</f>
        <v>165.43042066817674</v>
      </c>
      <c r="G46" s="67">
        <v>43462.69</v>
      </c>
      <c r="H46" s="79">
        <f>G46/24127.794*100</f>
        <v>180.13536587721197</v>
      </c>
      <c r="I46" s="67">
        <v>15837.87</v>
      </c>
      <c r="J46" s="67">
        <f>I46/E46*100</f>
        <v>80.978116095491359</v>
      </c>
      <c r="K46" s="67">
        <v>35195.269999999997</v>
      </c>
      <c r="L46" s="79">
        <f>K46/G46*100</f>
        <v>80.978121694722518</v>
      </c>
      <c r="M46" s="67">
        <v>16381.24</v>
      </c>
      <c r="N46" s="67">
        <f>M46/I46*100</f>
        <v>103.43082750395097</v>
      </c>
      <c r="O46" s="67">
        <v>36847.199999999997</v>
      </c>
      <c r="P46" s="79">
        <f>O46/K46*100</f>
        <v>104.69361365888086</v>
      </c>
      <c r="Q46" s="48"/>
      <c r="R46" s="37"/>
      <c r="S46" s="37"/>
      <c r="T46" s="37"/>
      <c r="U46" s="37"/>
      <c r="V46" s="37"/>
      <c r="W46" s="37"/>
      <c r="X46" s="37"/>
      <c r="Y46" s="37"/>
      <c r="Z46" s="37"/>
      <c r="AA46" s="36"/>
    </row>
    <row r="47" spans="1:27" ht="61.5" customHeight="1" x14ac:dyDescent="0.2">
      <c r="A47" s="62"/>
      <c r="B47" s="31" t="s">
        <v>89</v>
      </c>
      <c r="C47" s="34" t="s">
        <v>90</v>
      </c>
      <c r="D47" s="35" t="s">
        <v>91</v>
      </c>
      <c r="E47" s="72">
        <f>E46/11822.62/1.146*100</f>
        <v>144.35464281690818</v>
      </c>
      <c r="F47" s="72" t="s">
        <v>88</v>
      </c>
      <c r="G47" s="67">
        <f>G46/24127.79/1.146*100</f>
        <v>157.18620919787264</v>
      </c>
      <c r="H47" s="78" t="s">
        <v>88</v>
      </c>
      <c r="I47" s="67">
        <f>I46/E46/1.091*100</f>
        <v>74.2237544413303</v>
      </c>
      <c r="J47" s="67" t="s">
        <v>88</v>
      </c>
      <c r="K47" s="67">
        <f>K46/G46/1.091*100</f>
        <v>74.223759573531183</v>
      </c>
      <c r="L47" s="78" t="s">
        <v>88</v>
      </c>
      <c r="M47" s="67">
        <f>M46/I46/1.084*100</f>
        <v>95.415892531320068</v>
      </c>
      <c r="N47" s="67" t="s">
        <v>88</v>
      </c>
      <c r="O47" s="67">
        <f>O46/K46/1.084*100</f>
        <v>96.580824408561668</v>
      </c>
      <c r="P47" s="78" t="s">
        <v>88</v>
      </c>
      <c r="Q47" s="36"/>
      <c r="R47" s="37"/>
      <c r="S47" s="37"/>
      <c r="T47" s="37"/>
      <c r="U47" s="37"/>
      <c r="V47" s="37"/>
      <c r="W47" s="37"/>
      <c r="X47" s="37"/>
      <c r="Y47" s="37"/>
      <c r="Z47" s="38"/>
      <c r="AA47" s="36"/>
    </row>
    <row r="48" spans="1:27" ht="23.25" customHeight="1" x14ac:dyDescent="0.2">
      <c r="A48" s="62"/>
      <c r="B48" s="28" t="s">
        <v>92</v>
      </c>
      <c r="C48" s="54" t="s">
        <v>93</v>
      </c>
      <c r="D48" s="55"/>
      <c r="E48" s="66"/>
      <c r="F48" s="66"/>
      <c r="G48" s="67"/>
      <c r="H48" s="78"/>
      <c r="I48" s="67"/>
      <c r="J48" s="67"/>
      <c r="K48" s="68"/>
      <c r="L48" s="80"/>
      <c r="M48" s="68"/>
      <c r="N48" s="68"/>
      <c r="O48" s="68"/>
      <c r="P48" s="80"/>
      <c r="Q48" s="36"/>
      <c r="R48" s="37"/>
      <c r="S48" s="37"/>
      <c r="T48" s="37"/>
      <c r="U48" s="37"/>
      <c r="V48" s="37"/>
      <c r="W48" s="37"/>
      <c r="X48" s="37"/>
      <c r="Y48" s="37"/>
      <c r="Z48" s="38"/>
      <c r="AA48" s="36"/>
    </row>
    <row r="49" spans="1:27" ht="23.25" customHeight="1" x14ac:dyDescent="0.2">
      <c r="A49" s="62"/>
      <c r="B49" s="31"/>
      <c r="C49" s="33" t="s">
        <v>232</v>
      </c>
      <c r="D49" s="8" t="s">
        <v>94</v>
      </c>
      <c r="E49" s="69">
        <v>3151.85</v>
      </c>
      <c r="F49" s="69">
        <f>E49/3387.66*100</f>
        <v>93.039147966442911</v>
      </c>
      <c r="G49" s="67">
        <v>7504.4</v>
      </c>
      <c r="H49" s="79">
        <f>G49/7147.05*100</f>
        <v>104.99996502053295</v>
      </c>
      <c r="I49" s="67">
        <v>3340.69</v>
      </c>
      <c r="J49" s="67">
        <f>I49/E49*100</f>
        <v>105.99140187508924</v>
      </c>
      <c r="K49" s="67">
        <v>7954.66</v>
      </c>
      <c r="L49" s="79">
        <f>K49/G49*100</f>
        <v>105.99994669793722</v>
      </c>
      <c r="M49" s="67">
        <f>O49/100*42</f>
        <v>3474.5969999999998</v>
      </c>
      <c r="N49" s="67">
        <f>M49/I49*100</f>
        <v>104.00836354166354</v>
      </c>
      <c r="O49" s="67">
        <v>8272.85</v>
      </c>
      <c r="P49" s="79">
        <f>O49/K49*100</f>
        <v>104.00004525649118</v>
      </c>
      <c r="Q49" s="36"/>
      <c r="R49" s="37"/>
      <c r="S49" s="37"/>
      <c r="T49" s="37"/>
      <c r="U49" s="37"/>
      <c r="V49" s="37"/>
      <c r="W49" s="37"/>
      <c r="X49" s="37"/>
      <c r="Y49" s="37"/>
      <c r="Z49" s="38"/>
      <c r="AA49" s="36"/>
    </row>
    <row r="50" spans="1:27" ht="56.25" x14ac:dyDescent="0.2">
      <c r="A50" s="62"/>
      <c r="B50" s="31" t="s">
        <v>95</v>
      </c>
      <c r="C50" s="34" t="s">
        <v>90</v>
      </c>
      <c r="D50" s="35" t="s">
        <v>96</v>
      </c>
      <c r="E50" s="72">
        <f>E49/3387.66/1.107*100</f>
        <v>84.046204125061351</v>
      </c>
      <c r="F50" s="72" t="s">
        <v>88</v>
      </c>
      <c r="G50" s="67">
        <f>G49/7147.05/1.107*100</f>
        <v>94.850916911050547</v>
      </c>
      <c r="H50" s="78" t="s">
        <v>88</v>
      </c>
      <c r="I50" s="67">
        <f>I49/E49/1.064*100</f>
        <v>99.615979205910932</v>
      </c>
      <c r="J50" s="67" t="s">
        <v>88</v>
      </c>
      <c r="K50" s="67">
        <f>K49/G49/1.064*100</f>
        <v>99.62401005445227</v>
      </c>
      <c r="L50" s="78" t="s">
        <v>88</v>
      </c>
      <c r="M50" s="67">
        <f>M49/I49/1.064*100</f>
        <v>97.752221373743922</v>
      </c>
      <c r="N50" s="67" t="s">
        <v>88</v>
      </c>
      <c r="O50" s="67">
        <f>O49/K49/1.064*100</f>
        <v>97.744403436551849</v>
      </c>
      <c r="P50" s="78" t="s">
        <v>88</v>
      </c>
      <c r="Q50" s="36"/>
      <c r="R50" s="37"/>
      <c r="S50" s="37"/>
      <c r="T50" s="37"/>
      <c r="U50" s="37"/>
      <c r="V50" s="37"/>
      <c r="W50" s="37"/>
      <c r="X50" s="37"/>
      <c r="Y50" s="37"/>
      <c r="Z50" s="38"/>
      <c r="AA50" s="36"/>
    </row>
    <row r="51" spans="1:27" ht="23.25" customHeight="1" x14ac:dyDescent="0.2">
      <c r="A51" s="62"/>
      <c r="B51" s="28" t="s">
        <v>97</v>
      </c>
      <c r="C51" s="54" t="s">
        <v>98</v>
      </c>
      <c r="D51" s="55"/>
      <c r="E51" s="66"/>
      <c r="F51" s="72"/>
      <c r="G51" s="67"/>
      <c r="H51" s="78"/>
      <c r="I51" s="67"/>
      <c r="J51" s="67"/>
      <c r="K51" s="68"/>
      <c r="L51" s="80"/>
      <c r="M51" s="68"/>
      <c r="N51" s="67"/>
      <c r="O51" s="68"/>
      <c r="P51" s="80"/>
      <c r="Q51" s="36"/>
      <c r="R51" s="37"/>
      <c r="S51" s="37"/>
      <c r="T51" s="37"/>
      <c r="U51" s="37"/>
      <c r="V51" s="37"/>
      <c r="W51" s="37"/>
      <c r="X51" s="37"/>
      <c r="Y51" s="37"/>
      <c r="Z51" s="38"/>
      <c r="AA51" s="36"/>
    </row>
    <row r="52" spans="1:27" ht="23.25" customHeight="1" x14ac:dyDescent="0.2">
      <c r="A52" s="62"/>
      <c r="B52" s="31"/>
      <c r="C52" s="33" t="s">
        <v>232</v>
      </c>
      <c r="D52" s="8" t="s">
        <v>94</v>
      </c>
      <c r="E52" s="69">
        <v>14022.67</v>
      </c>
      <c r="F52" s="72">
        <f>E52/13462.846*100</f>
        <v>104.15828867090954</v>
      </c>
      <c r="G52" s="75">
        <v>29835.47</v>
      </c>
      <c r="H52" s="67">
        <f>G52/28550.69*100</f>
        <v>104.49999632233057</v>
      </c>
      <c r="I52" s="67">
        <v>14880.45</v>
      </c>
      <c r="J52" s="67">
        <f>I52/E52*100</f>
        <v>106.11709467597825</v>
      </c>
      <c r="K52" s="75">
        <v>31327.24</v>
      </c>
      <c r="L52" s="81">
        <f>K52/G52*100</f>
        <v>104.99998826899659</v>
      </c>
      <c r="M52" s="67">
        <v>15634.87</v>
      </c>
      <c r="N52" s="67">
        <f>M52/I52*100</f>
        <v>105.06987355893136</v>
      </c>
      <c r="O52" s="67">
        <v>32893.599999999999</v>
      </c>
      <c r="P52" s="81">
        <f>O52/K52*100</f>
        <v>104.99999361577974</v>
      </c>
      <c r="Q52" s="36"/>
      <c r="R52" s="37"/>
      <c r="S52" s="37"/>
      <c r="T52" s="37"/>
      <c r="U52" s="37"/>
      <c r="V52" s="37"/>
      <c r="W52" s="37"/>
      <c r="X52" s="37"/>
      <c r="Y52" s="37"/>
      <c r="Z52" s="38"/>
      <c r="AA52" s="36"/>
    </row>
    <row r="53" spans="1:27" ht="56.25" x14ac:dyDescent="0.2">
      <c r="A53" s="62"/>
      <c r="B53" s="31" t="s">
        <v>99</v>
      </c>
      <c r="C53" s="34" t="s">
        <v>90</v>
      </c>
      <c r="D53" s="35" t="s">
        <v>96</v>
      </c>
      <c r="E53" s="72">
        <f>E52/13462.846/1.154*100</f>
        <v>90.258482383803766</v>
      </c>
      <c r="F53" s="72" t="s">
        <v>88</v>
      </c>
      <c r="G53" s="75">
        <f>G52/28550.69/1.154*100</f>
        <v>90.55458953408197</v>
      </c>
      <c r="H53" s="81" t="s">
        <v>88</v>
      </c>
      <c r="I53" s="67">
        <f>I52/E52/1.046*100</f>
        <v>101.45037731929088</v>
      </c>
      <c r="J53" s="67" t="s">
        <v>88</v>
      </c>
      <c r="K53" s="75">
        <f>K52/G52/1.046*100</f>
        <v>100.38239796271185</v>
      </c>
      <c r="L53" s="81" t="s">
        <v>88</v>
      </c>
      <c r="M53" s="67">
        <f>M52/I52/1.073*100</f>
        <v>97.921596979432763</v>
      </c>
      <c r="N53" s="67" t="s">
        <v>88</v>
      </c>
      <c r="O53" s="67">
        <f>O52/K52/1.073*100</f>
        <v>97.856471216942907</v>
      </c>
      <c r="P53" s="81" t="s">
        <v>88</v>
      </c>
      <c r="Q53" s="36"/>
      <c r="R53" s="37"/>
      <c r="S53" s="37"/>
      <c r="T53" s="37"/>
      <c r="U53" s="37"/>
      <c r="V53" s="37"/>
      <c r="W53" s="37"/>
      <c r="X53" s="37"/>
      <c r="Y53" s="37"/>
      <c r="Z53" s="38"/>
      <c r="AA53" s="36"/>
    </row>
    <row r="54" spans="1:27" ht="23.25" customHeight="1" x14ac:dyDescent="0.2">
      <c r="A54" s="62"/>
      <c r="B54" s="28" t="s">
        <v>100</v>
      </c>
      <c r="C54" s="54" t="s">
        <v>101</v>
      </c>
      <c r="D54" s="55"/>
      <c r="E54" s="66"/>
      <c r="F54" s="72"/>
      <c r="G54" s="67"/>
      <c r="H54" s="78"/>
      <c r="I54" s="67"/>
      <c r="J54" s="67"/>
      <c r="K54" s="68"/>
      <c r="L54" s="80"/>
      <c r="M54" s="68"/>
      <c r="N54" s="67"/>
      <c r="O54" s="68"/>
      <c r="P54" s="80"/>
      <c r="Q54" s="36"/>
      <c r="R54" s="37"/>
      <c r="S54" s="37"/>
      <c r="T54" s="37"/>
      <c r="U54" s="37"/>
      <c r="V54" s="37"/>
      <c r="W54" s="37"/>
      <c r="X54" s="37"/>
      <c r="Y54" s="37"/>
      <c r="Z54" s="38"/>
      <c r="AA54" s="36"/>
    </row>
    <row r="55" spans="1:27" ht="23.25" customHeight="1" x14ac:dyDescent="0.2">
      <c r="A55" s="62"/>
      <c r="B55" s="31"/>
      <c r="C55" s="33" t="s">
        <v>232</v>
      </c>
      <c r="D55" s="8" t="s">
        <v>94</v>
      </c>
      <c r="E55" s="69">
        <v>4452.6899999999996</v>
      </c>
      <c r="F55" s="72">
        <f>E55/4330.88*100</f>
        <v>102.81259235998226</v>
      </c>
      <c r="G55" s="75">
        <v>9473.7999999999993</v>
      </c>
      <c r="H55" s="81">
        <f>G55/9022.67*100</f>
        <v>104.99996120882177</v>
      </c>
      <c r="I55" s="67">
        <v>4729.32</v>
      </c>
      <c r="J55" s="67">
        <f>I55/E55*100</f>
        <v>106.21264898297433</v>
      </c>
      <c r="K55" s="75">
        <v>9852.75</v>
      </c>
      <c r="L55" s="81">
        <f>K55/G55*100</f>
        <v>103.99997888914692</v>
      </c>
      <c r="M55" s="67">
        <v>4978.55</v>
      </c>
      <c r="N55" s="67">
        <f>M55/I55*100</f>
        <v>105.26989080882664</v>
      </c>
      <c r="O55" s="67">
        <v>10286.27</v>
      </c>
      <c r="P55" s="81">
        <f>O55/K55*100</f>
        <v>104.39998985054935</v>
      </c>
      <c r="Q55" s="36"/>
      <c r="R55" s="37"/>
      <c r="S55" s="37"/>
      <c r="T55" s="37"/>
      <c r="U55" s="37"/>
      <c r="V55" s="37"/>
      <c r="W55" s="37"/>
      <c r="X55" s="37"/>
      <c r="Y55" s="37"/>
      <c r="Z55" s="38"/>
      <c r="AA55" s="36"/>
    </row>
    <row r="56" spans="1:27" ht="56.25" x14ac:dyDescent="0.2">
      <c r="A56" s="62"/>
      <c r="B56" s="31" t="s">
        <v>102</v>
      </c>
      <c r="C56" s="34" t="s">
        <v>90</v>
      </c>
      <c r="D56" s="35" t="s">
        <v>96</v>
      </c>
      <c r="E56" s="72">
        <f>E55/4330.88/1.082*100</f>
        <v>95.020880184826481</v>
      </c>
      <c r="F56" s="72" t="s">
        <v>88</v>
      </c>
      <c r="G56" s="75">
        <v>97.04</v>
      </c>
      <c r="H56" s="81" t="s">
        <v>88</v>
      </c>
      <c r="I56" s="67">
        <f>I55/E55/1.095*100</f>
        <v>96.997852952487975</v>
      </c>
      <c r="J56" s="67" t="s">
        <v>88</v>
      </c>
      <c r="K56" s="75">
        <v>94.98</v>
      </c>
      <c r="L56" s="81" t="s">
        <v>88</v>
      </c>
      <c r="M56" s="67">
        <f>M55/I55/1.07*100</f>
        <v>98.383075522267887</v>
      </c>
      <c r="N56" s="67" t="s">
        <v>88</v>
      </c>
      <c r="O56" s="67">
        <f>O55/K55/1.07*100</f>
        <v>97.570083972476013</v>
      </c>
      <c r="P56" s="81" t="s">
        <v>88</v>
      </c>
      <c r="Q56" s="36"/>
      <c r="R56" s="37"/>
      <c r="S56" s="37"/>
      <c r="T56" s="37"/>
      <c r="U56" s="37"/>
      <c r="V56" s="37"/>
      <c r="W56" s="37"/>
      <c r="X56" s="37"/>
      <c r="Y56" s="37"/>
      <c r="Z56" s="38"/>
      <c r="AA56" s="36"/>
    </row>
    <row r="57" spans="1:27" ht="36.75" customHeight="1" x14ac:dyDescent="0.2">
      <c r="A57" s="62"/>
      <c r="B57" s="28" t="s">
        <v>103</v>
      </c>
      <c r="C57" s="54" t="s">
        <v>104</v>
      </c>
      <c r="D57" s="55"/>
      <c r="E57" s="77"/>
      <c r="F57" s="77"/>
      <c r="G57" s="78"/>
      <c r="H57" s="78"/>
      <c r="I57" s="78"/>
      <c r="J57" s="78"/>
      <c r="K57" s="80"/>
      <c r="L57" s="80"/>
      <c r="M57" s="80"/>
      <c r="N57" s="80"/>
      <c r="O57" s="80"/>
      <c r="P57" s="80"/>
      <c r="Q57" s="36"/>
      <c r="R57" s="57"/>
      <c r="S57" s="57"/>
      <c r="T57" s="57"/>
      <c r="U57" s="57"/>
      <c r="V57" s="57"/>
      <c r="W57" s="57"/>
      <c r="X57" s="57"/>
      <c r="Y57" s="57"/>
      <c r="Z57" s="57"/>
      <c r="AA57" s="36"/>
    </row>
    <row r="58" spans="1:27" ht="23.25" customHeight="1" x14ac:dyDescent="0.2">
      <c r="A58" s="62"/>
      <c r="B58" s="31"/>
      <c r="C58" s="34" t="s">
        <v>232</v>
      </c>
      <c r="D58" s="8" t="s">
        <v>28</v>
      </c>
      <c r="E58" s="69">
        <v>37.520000000000003</v>
      </c>
      <c r="F58" s="69">
        <f>E58/36.25*100</f>
        <v>103.50344827586208</v>
      </c>
      <c r="G58" s="67">
        <v>139.67699999999999</v>
      </c>
      <c r="H58" s="67">
        <f>G58/119.642*100</f>
        <v>116.74579161164141</v>
      </c>
      <c r="I58" s="67">
        <v>41.36</v>
      </c>
      <c r="J58" s="67">
        <f>I58/E58*100</f>
        <v>110.23454157782515</v>
      </c>
      <c r="K58" s="67">
        <v>141.21</v>
      </c>
      <c r="L58" s="67">
        <f>K58/G58*100</f>
        <v>101.09753216349149</v>
      </c>
      <c r="M58" s="67">
        <f>O58/100*28.82</f>
        <v>44.071255800000003</v>
      </c>
      <c r="N58" s="67">
        <f>M58/I58*100</f>
        <v>106.55526063829788</v>
      </c>
      <c r="O58" s="67">
        <v>152.91900000000001</v>
      </c>
      <c r="P58" s="67">
        <f>O58/K58*100</f>
        <v>108.29190567240281</v>
      </c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36"/>
    </row>
    <row r="59" spans="1:27" ht="56.25" x14ac:dyDescent="0.2">
      <c r="A59" s="62"/>
      <c r="B59" s="31" t="s">
        <v>105</v>
      </c>
      <c r="C59" s="34" t="s">
        <v>106</v>
      </c>
      <c r="D59" s="8" t="s">
        <v>31</v>
      </c>
      <c r="E59" s="69">
        <f>E58/36.25/1.042*100</f>
        <v>99.33152425706534</v>
      </c>
      <c r="F59" s="69" t="s">
        <v>88</v>
      </c>
      <c r="G59" s="67">
        <v>112.04</v>
      </c>
      <c r="H59" s="67" t="s">
        <v>88</v>
      </c>
      <c r="I59" s="67">
        <f>I58/E58/0.977*100</f>
        <v>112.82962290463168</v>
      </c>
      <c r="J59" s="67" t="s">
        <v>88</v>
      </c>
      <c r="K59" s="67">
        <v>103.48</v>
      </c>
      <c r="L59" s="67" t="s">
        <v>88</v>
      </c>
      <c r="M59" s="67">
        <f>M58/I58/1.091*100</f>
        <v>97.667516625387606</v>
      </c>
      <c r="N59" s="67" t="s">
        <v>88</v>
      </c>
      <c r="O59" s="67">
        <v>99.26</v>
      </c>
      <c r="P59" s="67" t="s">
        <v>88</v>
      </c>
      <c r="Q59" s="44"/>
      <c r="R59" s="37"/>
      <c r="S59" s="37"/>
      <c r="T59" s="37"/>
      <c r="U59" s="37"/>
      <c r="V59" s="37"/>
      <c r="W59" s="37"/>
      <c r="X59" s="37"/>
      <c r="Y59" s="37"/>
      <c r="Z59" s="37"/>
      <c r="AA59" s="36"/>
    </row>
    <row r="60" spans="1:27" ht="23.25" customHeight="1" x14ac:dyDescent="0.2">
      <c r="A60" s="62"/>
      <c r="B60" s="31" t="s">
        <v>107</v>
      </c>
      <c r="C60" s="33" t="s">
        <v>108</v>
      </c>
      <c r="D60" s="8" t="s">
        <v>109</v>
      </c>
      <c r="E60" s="69">
        <v>8.5000000000000006E-2</v>
      </c>
      <c r="F60" s="69">
        <f>E60/0.089*100</f>
        <v>95.505617977528104</v>
      </c>
      <c r="G60" s="67">
        <v>0.17</v>
      </c>
      <c r="H60" s="67">
        <v>94.99</v>
      </c>
      <c r="I60" s="67">
        <v>0.03</v>
      </c>
      <c r="J60" s="67">
        <f>I60/E60*100</f>
        <v>35.294117647058819</v>
      </c>
      <c r="K60" s="67">
        <v>0.06</v>
      </c>
      <c r="L60" s="67">
        <f>K60/G60*100</f>
        <v>35.294117647058819</v>
      </c>
      <c r="M60" s="67">
        <v>0</v>
      </c>
      <c r="N60" s="67" t="s">
        <v>88</v>
      </c>
      <c r="O60" s="67">
        <v>0</v>
      </c>
      <c r="P60" s="67" t="s">
        <v>88</v>
      </c>
      <c r="Q60" s="38"/>
      <c r="R60" s="50"/>
      <c r="S60" s="50"/>
      <c r="T60" s="50"/>
      <c r="U60" s="50"/>
      <c r="V60" s="50"/>
      <c r="W60" s="50"/>
      <c r="X60" s="50"/>
      <c r="Y60" s="50"/>
      <c r="Z60" s="50"/>
      <c r="AA60" s="36"/>
    </row>
    <row r="61" spans="1:27" ht="23.25" customHeight="1" x14ac:dyDescent="0.2">
      <c r="A61" s="62"/>
      <c r="B61" s="31" t="s">
        <v>110</v>
      </c>
      <c r="C61" s="33" t="s">
        <v>111</v>
      </c>
      <c r="D61" s="8" t="s">
        <v>109</v>
      </c>
      <c r="E61" s="69">
        <v>0.79</v>
      </c>
      <c r="F61" s="69">
        <v>92.36</v>
      </c>
      <c r="G61" s="67">
        <v>1.58</v>
      </c>
      <c r="H61" s="67">
        <v>67.23</v>
      </c>
      <c r="I61" s="67">
        <v>0.53500000000000003</v>
      </c>
      <c r="J61" s="67">
        <f>I61/E61*100</f>
        <v>67.721518987341781</v>
      </c>
      <c r="K61" s="67">
        <v>1.07</v>
      </c>
      <c r="L61" s="67">
        <f>K61/G61*100</f>
        <v>67.721518987341781</v>
      </c>
      <c r="M61" s="67">
        <v>0</v>
      </c>
      <c r="N61" s="67" t="s">
        <v>88</v>
      </c>
      <c r="O61" s="67">
        <v>0</v>
      </c>
      <c r="P61" s="67" t="s">
        <v>88</v>
      </c>
      <c r="Q61" s="38"/>
      <c r="R61" s="50"/>
      <c r="S61" s="50"/>
      <c r="T61" s="50"/>
      <c r="U61" s="50"/>
      <c r="V61" s="50"/>
      <c r="W61" s="50"/>
      <c r="X61" s="50"/>
      <c r="Y61" s="50"/>
      <c r="Z61" s="50"/>
      <c r="AA61" s="36"/>
    </row>
    <row r="62" spans="1:27" ht="23.25" customHeight="1" x14ac:dyDescent="0.2">
      <c r="A62" s="62"/>
      <c r="B62" s="31" t="s">
        <v>112</v>
      </c>
      <c r="C62" s="33" t="s">
        <v>113</v>
      </c>
      <c r="D62" s="8" t="s">
        <v>114</v>
      </c>
      <c r="E62" s="69">
        <v>0.25</v>
      </c>
      <c r="F62" s="69">
        <v>100</v>
      </c>
      <c r="G62" s="67">
        <v>0.51</v>
      </c>
      <c r="H62" s="67">
        <v>100</v>
      </c>
      <c r="I62" s="67">
        <v>7.4999999999999997E-2</v>
      </c>
      <c r="J62" s="67">
        <f>I62/E62*100</f>
        <v>30</v>
      </c>
      <c r="K62" s="67">
        <v>0.15</v>
      </c>
      <c r="L62" s="67">
        <f t="shared" ref="L62" si="9">K62/G62*100</f>
        <v>29.411764705882355</v>
      </c>
      <c r="M62" s="67">
        <v>1</v>
      </c>
      <c r="N62" s="67" t="s">
        <v>88</v>
      </c>
      <c r="O62" s="67">
        <v>1</v>
      </c>
      <c r="P62" s="67" t="s">
        <v>88</v>
      </c>
      <c r="Q62" s="38"/>
      <c r="R62" s="50"/>
      <c r="S62" s="50"/>
      <c r="T62" s="50"/>
      <c r="U62" s="50"/>
      <c r="V62" s="50"/>
      <c r="W62" s="50"/>
      <c r="X62" s="50"/>
      <c r="Y62" s="50"/>
      <c r="Z62" s="50"/>
      <c r="AA62" s="36"/>
    </row>
    <row r="63" spans="1:27" ht="23.25" customHeight="1" x14ac:dyDescent="0.2">
      <c r="A63" s="62"/>
      <c r="B63" s="31" t="s">
        <v>115</v>
      </c>
      <c r="C63" s="33" t="s">
        <v>116</v>
      </c>
      <c r="D63" s="8" t="s">
        <v>109</v>
      </c>
      <c r="E63" s="69">
        <v>0</v>
      </c>
      <c r="F63" s="69" t="s">
        <v>88</v>
      </c>
      <c r="G63" s="67">
        <v>0</v>
      </c>
      <c r="H63" s="67" t="s">
        <v>88</v>
      </c>
      <c r="I63" s="67">
        <v>0</v>
      </c>
      <c r="J63" s="67" t="s">
        <v>88</v>
      </c>
      <c r="K63" s="67">
        <v>0</v>
      </c>
      <c r="L63" s="67" t="s">
        <v>88</v>
      </c>
      <c r="M63" s="67">
        <v>0</v>
      </c>
      <c r="N63" s="67" t="s">
        <v>88</v>
      </c>
      <c r="O63" s="67">
        <v>0</v>
      </c>
      <c r="P63" s="67" t="s">
        <v>88</v>
      </c>
      <c r="Q63" s="38"/>
      <c r="R63" s="50"/>
      <c r="S63" s="50"/>
      <c r="T63" s="50"/>
      <c r="U63" s="50"/>
      <c r="V63" s="50"/>
      <c r="W63" s="50"/>
      <c r="X63" s="50"/>
      <c r="Y63" s="50"/>
      <c r="Z63" s="50"/>
      <c r="AA63" s="36"/>
    </row>
    <row r="64" spans="1:27" ht="23.25" customHeight="1" x14ac:dyDescent="0.2">
      <c r="A64" s="62"/>
      <c r="B64" s="31" t="s">
        <v>117</v>
      </c>
      <c r="C64" s="33" t="s">
        <v>118</v>
      </c>
      <c r="D64" s="8" t="s">
        <v>109</v>
      </c>
      <c r="E64" s="69">
        <v>0</v>
      </c>
      <c r="F64" s="69" t="s">
        <v>88</v>
      </c>
      <c r="G64" s="67">
        <v>0</v>
      </c>
      <c r="H64" s="67" t="s">
        <v>88</v>
      </c>
      <c r="I64" s="67">
        <v>0</v>
      </c>
      <c r="J64" s="67" t="s">
        <v>88</v>
      </c>
      <c r="K64" s="67">
        <v>0</v>
      </c>
      <c r="L64" s="67" t="s">
        <v>88</v>
      </c>
      <c r="M64" s="67">
        <v>0</v>
      </c>
      <c r="N64" s="67" t="s">
        <v>88</v>
      </c>
      <c r="O64" s="67">
        <v>0</v>
      </c>
      <c r="P64" s="67" t="s">
        <v>88</v>
      </c>
      <c r="Q64" s="38"/>
      <c r="R64" s="50"/>
      <c r="S64" s="50"/>
      <c r="T64" s="50"/>
      <c r="U64" s="50"/>
      <c r="V64" s="50"/>
      <c r="W64" s="50"/>
      <c r="X64" s="50"/>
      <c r="Y64" s="50"/>
      <c r="Z64" s="50"/>
      <c r="AA64" s="36"/>
    </row>
    <row r="65" spans="1:27" ht="23.25" customHeight="1" x14ac:dyDescent="0.2">
      <c r="A65" s="62"/>
      <c r="B65" s="31" t="s">
        <v>119</v>
      </c>
      <c r="C65" s="33" t="s">
        <v>120</v>
      </c>
      <c r="D65" s="8" t="s">
        <v>121</v>
      </c>
      <c r="E65" s="69">
        <v>3.57</v>
      </c>
      <c r="F65" s="69">
        <v>96.47</v>
      </c>
      <c r="G65" s="67">
        <v>3.44</v>
      </c>
      <c r="H65" s="67">
        <v>86.22</v>
      </c>
      <c r="I65" s="67">
        <v>1.78</v>
      </c>
      <c r="J65" s="67">
        <f>I65/E65*100</f>
        <v>49.859943977591037</v>
      </c>
      <c r="K65" s="67">
        <v>1.19</v>
      </c>
      <c r="L65" s="67">
        <f>K65/G65*100</f>
        <v>34.593023255813954</v>
      </c>
      <c r="M65" s="67">
        <v>0</v>
      </c>
      <c r="N65" s="67" t="s">
        <v>88</v>
      </c>
      <c r="O65" s="67">
        <v>0</v>
      </c>
      <c r="P65" s="67" t="s">
        <v>88</v>
      </c>
      <c r="Q65" s="38"/>
      <c r="R65" s="50"/>
      <c r="S65" s="50"/>
      <c r="T65" s="50"/>
      <c r="U65" s="50"/>
      <c r="V65" s="50"/>
      <c r="W65" s="50"/>
      <c r="X65" s="50"/>
      <c r="Y65" s="50"/>
      <c r="Z65" s="50"/>
      <c r="AA65" s="36"/>
    </row>
    <row r="66" spans="1:27" ht="23.25" customHeight="1" x14ac:dyDescent="0.2">
      <c r="A66" s="62"/>
      <c r="B66" s="28" t="s">
        <v>122</v>
      </c>
      <c r="C66" s="54" t="s">
        <v>123</v>
      </c>
      <c r="D66" s="55"/>
      <c r="E66" s="66"/>
      <c r="F66" s="66"/>
      <c r="G66" s="67"/>
      <c r="H66" s="67"/>
      <c r="I66" s="67"/>
      <c r="J66" s="67"/>
      <c r="K66" s="68"/>
      <c r="L66" s="68"/>
      <c r="M66" s="68"/>
      <c r="N66" s="68"/>
      <c r="O66" s="68"/>
      <c r="P66" s="6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6"/>
    </row>
    <row r="67" spans="1:27" ht="23.25" customHeight="1" x14ac:dyDescent="0.2">
      <c r="A67" s="62"/>
      <c r="B67" s="31" t="s">
        <v>124</v>
      </c>
      <c r="C67" s="33" t="s">
        <v>125</v>
      </c>
      <c r="D67" s="8" t="s">
        <v>126</v>
      </c>
      <c r="E67" s="69">
        <v>670</v>
      </c>
      <c r="F67" s="69">
        <v>114.2</v>
      </c>
      <c r="G67" s="67">
        <v>1270</v>
      </c>
      <c r="H67" s="67">
        <v>104.38</v>
      </c>
      <c r="I67" s="67">
        <v>610</v>
      </c>
      <c r="J67" s="67">
        <f t="shared" ref="J67" si="10">I67/E67*100</f>
        <v>91.044776119402982</v>
      </c>
      <c r="K67" s="67">
        <v>1213.0899999999999</v>
      </c>
      <c r="L67" s="67">
        <f>K67/G67*100</f>
        <v>95.518897637795263</v>
      </c>
      <c r="M67" s="67">
        <v>595</v>
      </c>
      <c r="N67" s="67">
        <f>M67/I67*100</f>
        <v>97.540983606557376</v>
      </c>
      <c r="O67" s="67">
        <v>1090</v>
      </c>
      <c r="P67" s="67">
        <f>O67/K67*100</f>
        <v>89.853184842015025</v>
      </c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6"/>
    </row>
    <row r="68" spans="1:27" ht="23.25" customHeight="1" x14ac:dyDescent="0.2">
      <c r="A68" s="62"/>
      <c r="B68" s="31" t="s">
        <v>127</v>
      </c>
      <c r="C68" s="33" t="s">
        <v>128</v>
      </c>
      <c r="D68" s="8" t="s">
        <v>126</v>
      </c>
      <c r="E68" s="69">
        <v>0</v>
      </c>
      <c r="F68" s="69" t="s">
        <v>88</v>
      </c>
      <c r="G68" s="67">
        <v>0</v>
      </c>
      <c r="H68" s="67" t="s">
        <v>88</v>
      </c>
      <c r="I68" s="67">
        <v>0</v>
      </c>
      <c r="J68" s="67" t="s">
        <v>88</v>
      </c>
      <c r="K68" s="67">
        <v>0</v>
      </c>
      <c r="L68" s="67" t="s">
        <v>88</v>
      </c>
      <c r="M68" s="67">
        <v>0</v>
      </c>
      <c r="N68" s="67" t="s">
        <v>88</v>
      </c>
      <c r="O68" s="67">
        <v>0</v>
      </c>
      <c r="P68" s="67" t="s">
        <v>88</v>
      </c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6"/>
    </row>
    <row r="69" spans="1:27" ht="23.25" customHeight="1" x14ac:dyDescent="0.2">
      <c r="A69" s="62"/>
      <c r="B69" s="31" t="s">
        <v>129</v>
      </c>
      <c r="C69" s="33" t="s">
        <v>130</v>
      </c>
      <c r="D69" s="8" t="s">
        <v>126</v>
      </c>
      <c r="E69" s="69">
        <v>0</v>
      </c>
      <c r="F69" s="69" t="s">
        <v>88</v>
      </c>
      <c r="G69" s="67">
        <v>0</v>
      </c>
      <c r="H69" s="67" t="s">
        <v>88</v>
      </c>
      <c r="I69" s="67">
        <v>0</v>
      </c>
      <c r="J69" s="67" t="s">
        <v>88</v>
      </c>
      <c r="K69" s="67">
        <v>10</v>
      </c>
      <c r="L69" s="67">
        <v>100</v>
      </c>
      <c r="M69" s="67">
        <v>5</v>
      </c>
      <c r="N69" s="67">
        <v>100</v>
      </c>
      <c r="O69" s="67">
        <v>10</v>
      </c>
      <c r="P69" s="67">
        <v>100</v>
      </c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6"/>
    </row>
    <row r="70" spans="1:27" ht="23.25" customHeight="1" x14ac:dyDescent="0.2">
      <c r="A70" s="23"/>
      <c r="B70" s="28" t="s">
        <v>131</v>
      </c>
      <c r="C70" s="54" t="s">
        <v>132</v>
      </c>
      <c r="D70" s="55"/>
      <c r="E70" s="66"/>
      <c r="F70" s="66"/>
      <c r="G70" s="67"/>
      <c r="H70" s="67"/>
      <c r="I70" s="67"/>
      <c r="J70" s="67"/>
      <c r="K70" s="68"/>
      <c r="L70" s="68"/>
      <c r="M70" s="68"/>
      <c r="N70" s="68"/>
      <c r="O70" s="68"/>
      <c r="P70" s="68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</row>
    <row r="71" spans="1:27" ht="37.5" x14ac:dyDescent="0.2">
      <c r="A71" s="53" t="s">
        <v>243</v>
      </c>
      <c r="B71" s="31" t="s">
        <v>133</v>
      </c>
      <c r="C71" s="33" t="s">
        <v>134</v>
      </c>
      <c r="D71" s="8" t="s">
        <v>21</v>
      </c>
      <c r="E71" s="70">
        <v>0</v>
      </c>
      <c r="F71" s="69" t="s">
        <v>88</v>
      </c>
      <c r="G71" s="70">
        <v>0</v>
      </c>
      <c r="H71" s="69" t="s">
        <v>88</v>
      </c>
      <c r="I71" s="70">
        <v>0</v>
      </c>
      <c r="J71" s="69" t="s">
        <v>88</v>
      </c>
      <c r="K71" s="70">
        <v>0</v>
      </c>
      <c r="L71" s="69" t="s">
        <v>88</v>
      </c>
      <c r="M71" s="70">
        <v>0</v>
      </c>
      <c r="N71" s="69" t="s">
        <v>88</v>
      </c>
      <c r="O71" s="70">
        <v>0</v>
      </c>
      <c r="P71" s="69" t="s">
        <v>88</v>
      </c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</row>
    <row r="72" spans="1:27" ht="37.5" x14ac:dyDescent="0.2">
      <c r="A72" s="53"/>
      <c r="B72" s="31" t="s">
        <v>135</v>
      </c>
      <c r="C72" s="33" t="s">
        <v>136</v>
      </c>
      <c r="D72" s="8" t="s">
        <v>21</v>
      </c>
      <c r="E72" s="70">
        <v>0</v>
      </c>
      <c r="F72" s="69" t="s">
        <v>88</v>
      </c>
      <c r="G72" s="70">
        <v>0</v>
      </c>
      <c r="H72" s="69" t="s">
        <v>88</v>
      </c>
      <c r="I72" s="70">
        <v>0</v>
      </c>
      <c r="J72" s="69" t="s">
        <v>88</v>
      </c>
      <c r="K72" s="70">
        <v>0</v>
      </c>
      <c r="L72" s="69" t="s">
        <v>88</v>
      </c>
      <c r="M72" s="70">
        <v>0</v>
      </c>
      <c r="N72" s="69" t="s">
        <v>88</v>
      </c>
      <c r="O72" s="70">
        <v>0</v>
      </c>
      <c r="P72" s="69" t="s">
        <v>88</v>
      </c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</row>
    <row r="73" spans="1:27" ht="37.5" x14ac:dyDescent="0.2">
      <c r="A73" s="53"/>
      <c r="B73" s="31" t="s">
        <v>137</v>
      </c>
      <c r="C73" s="33" t="s">
        <v>138</v>
      </c>
      <c r="D73" s="8" t="s">
        <v>21</v>
      </c>
      <c r="E73" s="70">
        <v>0</v>
      </c>
      <c r="F73" s="69" t="s">
        <v>88</v>
      </c>
      <c r="G73" s="70">
        <v>0</v>
      </c>
      <c r="H73" s="69" t="s">
        <v>88</v>
      </c>
      <c r="I73" s="70">
        <v>0</v>
      </c>
      <c r="J73" s="69" t="s">
        <v>88</v>
      </c>
      <c r="K73" s="70">
        <v>0</v>
      </c>
      <c r="L73" s="69" t="s">
        <v>88</v>
      </c>
      <c r="M73" s="70">
        <v>0</v>
      </c>
      <c r="N73" s="69" t="s">
        <v>88</v>
      </c>
      <c r="O73" s="70">
        <v>0</v>
      </c>
      <c r="P73" s="69" t="s">
        <v>88</v>
      </c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</row>
    <row r="74" spans="1:27" ht="56.25" x14ac:dyDescent="0.2">
      <c r="A74" s="53"/>
      <c r="B74" s="31" t="s">
        <v>139</v>
      </c>
      <c r="C74" s="33" t="s">
        <v>140</v>
      </c>
      <c r="D74" s="8" t="s">
        <v>21</v>
      </c>
      <c r="E74" s="70">
        <v>0</v>
      </c>
      <c r="F74" s="69" t="s">
        <v>88</v>
      </c>
      <c r="G74" s="70">
        <v>0</v>
      </c>
      <c r="H74" s="69" t="s">
        <v>88</v>
      </c>
      <c r="I74" s="70">
        <v>0</v>
      </c>
      <c r="J74" s="69" t="s">
        <v>88</v>
      </c>
      <c r="K74" s="70">
        <v>0</v>
      </c>
      <c r="L74" s="69" t="s">
        <v>88</v>
      </c>
      <c r="M74" s="70">
        <v>0</v>
      </c>
      <c r="N74" s="69" t="s">
        <v>88</v>
      </c>
      <c r="O74" s="70">
        <v>0</v>
      </c>
      <c r="P74" s="69" t="s">
        <v>88</v>
      </c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</row>
    <row r="75" spans="1:27" ht="23.25" x14ac:dyDescent="0.2">
      <c r="A75" s="22"/>
      <c r="B75" s="28" t="s">
        <v>141</v>
      </c>
      <c r="C75" s="54" t="s">
        <v>142</v>
      </c>
      <c r="D75" s="55"/>
      <c r="E75" s="66"/>
      <c r="F75" s="66"/>
      <c r="G75" s="67"/>
      <c r="H75" s="67"/>
      <c r="I75" s="67"/>
      <c r="J75" s="67"/>
      <c r="K75" s="68"/>
      <c r="L75" s="68"/>
      <c r="M75" s="68"/>
      <c r="N75" s="68"/>
      <c r="O75" s="68"/>
      <c r="P75" s="68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</row>
    <row r="76" spans="1:27" ht="23.25" customHeight="1" x14ac:dyDescent="0.2">
      <c r="A76" s="64" t="s">
        <v>244</v>
      </c>
      <c r="B76" s="31" t="s">
        <v>143</v>
      </c>
      <c r="C76" s="33" t="s">
        <v>144</v>
      </c>
      <c r="D76" s="8" t="s">
        <v>94</v>
      </c>
      <c r="E76" s="69" t="s">
        <v>258</v>
      </c>
      <c r="F76" s="69" t="s">
        <v>88</v>
      </c>
      <c r="G76" s="67" t="s">
        <v>258</v>
      </c>
      <c r="H76" s="67" t="s">
        <v>88</v>
      </c>
      <c r="I76" s="67" t="s">
        <v>258</v>
      </c>
      <c r="J76" s="67" t="s">
        <v>88</v>
      </c>
      <c r="K76" s="67" t="s">
        <v>258</v>
      </c>
      <c r="L76" s="67" t="s">
        <v>88</v>
      </c>
      <c r="M76" s="67" t="s">
        <v>258</v>
      </c>
      <c r="N76" s="67" t="s">
        <v>88</v>
      </c>
      <c r="O76" s="67" t="s">
        <v>258</v>
      </c>
      <c r="P76" s="67" t="s">
        <v>88</v>
      </c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</row>
    <row r="77" spans="1:27" ht="23.25" customHeight="1" x14ac:dyDescent="0.2">
      <c r="A77" s="64"/>
      <c r="B77" s="31" t="s">
        <v>145</v>
      </c>
      <c r="C77" s="33" t="s">
        <v>146</v>
      </c>
      <c r="D77" s="8" t="s">
        <v>94</v>
      </c>
      <c r="E77" s="69" t="s">
        <v>258</v>
      </c>
      <c r="F77" s="69" t="s">
        <v>88</v>
      </c>
      <c r="G77" s="67">
        <v>117.32</v>
      </c>
      <c r="H77" s="67" t="s">
        <v>88</v>
      </c>
      <c r="I77" s="67" t="s">
        <v>258</v>
      </c>
      <c r="J77" s="67" t="s">
        <v>88</v>
      </c>
      <c r="K77" s="67">
        <v>30.71</v>
      </c>
      <c r="L77" s="67" t="s">
        <v>88</v>
      </c>
      <c r="M77" s="67" t="s">
        <v>258</v>
      </c>
      <c r="N77" s="67" t="s">
        <v>88</v>
      </c>
      <c r="O77" s="67" t="s">
        <v>258</v>
      </c>
      <c r="P77" s="67" t="s">
        <v>88</v>
      </c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</row>
    <row r="78" spans="1:27" ht="23.25" customHeight="1" x14ac:dyDescent="0.2">
      <c r="A78" s="64"/>
      <c r="B78" s="31" t="s">
        <v>147</v>
      </c>
      <c r="C78" s="33" t="s">
        <v>148</v>
      </c>
      <c r="D78" s="8" t="s">
        <v>94</v>
      </c>
      <c r="E78" s="69" t="s">
        <v>258</v>
      </c>
      <c r="F78" s="69" t="s">
        <v>88</v>
      </c>
      <c r="G78" s="67">
        <v>0</v>
      </c>
      <c r="H78" s="67" t="s">
        <v>88</v>
      </c>
      <c r="I78" s="67" t="s">
        <v>258</v>
      </c>
      <c r="J78" s="67" t="s">
        <v>88</v>
      </c>
      <c r="K78" s="67">
        <v>0</v>
      </c>
      <c r="L78" s="67" t="s">
        <v>88</v>
      </c>
      <c r="M78" s="67" t="s">
        <v>258</v>
      </c>
      <c r="N78" s="67" t="s">
        <v>88</v>
      </c>
      <c r="O78" s="67" t="s">
        <v>258</v>
      </c>
      <c r="P78" s="67" t="s">
        <v>88</v>
      </c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</row>
    <row r="79" spans="1:27" ht="23.25" customHeight="1" x14ac:dyDescent="0.2">
      <c r="A79" s="64"/>
      <c r="B79" s="31" t="s">
        <v>149</v>
      </c>
      <c r="C79" s="33" t="s">
        <v>150</v>
      </c>
      <c r="D79" s="8" t="s">
        <v>94</v>
      </c>
      <c r="E79" s="69" t="s">
        <v>258</v>
      </c>
      <c r="F79" s="69" t="s">
        <v>88</v>
      </c>
      <c r="G79" s="67">
        <v>28354.62</v>
      </c>
      <c r="H79" s="67" t="s">
        <v>88</v>
      </c>
      <c r="I79" s="67" t="s">
        <v>258</v>
      </c>
      <c r="J79" s="67" t="s">
        <v>88</v>
      </c>
      <c r="K79" s="67">
        <v>26320.58</v>
      </c>
      <c r="L79" s="67" t="s">
        <v>88</v>
      </c>
      <c r="M79" s="67" t="s">
        <v>258</v>
      </c>
      <c r="N79" s="67" t="s">
        <v>88</v>
      </c>
      <c r="O79" s="67" t="s">
        <v>258</v>
      </c>
      <c r="P79" s="67" t="s">
        <v>88</v>
      </c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</row>
    <row r="80" spans="1:27" ht="23.25" customHeight="1" x14ac:dyDescent="0.2">
      <c r="A80" s="64"/>
      <c r="B80" s="31" t="s">
        <v>151</v>
      </c>
      <c r="C80" s="33" t="s">
        <v>148</v>
      </c>
      <c r="D80" s="8" t="s">
        <v>94</v>
      </c>
      <c r="E80" s="69" t="s">
        <v>258</v>
      </c>
      <c r="F80" s="69" t="s">
        <v>88</v>
      </c>
      <c r="G80" s="67">
        <v>564.75</v>
      </c>
      <c r="H80" s="67" t="s">
        <v>88</v>
      </c>
      <c r="I80" s="67" t="s">
        <v>258</v>
      </c>
      <c r="J80" s="67" t="s">
        <v>88</v>
      </c>
      <c r="K80" s="67">
        <v>500.56</v>
      </c>
      <c r="L80" s="67" t="s">
        <v>88</v>
      </c>
      <c r="M80" s="67" t="s">
        <v>258</v>
      </c>
      <c r="N80" s="67" t="s">
        <v>88</v>
      </c>
      <c r="O80" s="67" t="s">
        <v>258</v>
      </c>
      <c r="P80" s="67" t="s">
        <v>88</v>
      </c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</row>
    <row r="81" spans="1:27" ht="23.25" x14ac:dyDescent="0.2">
      <c r="A81" s="22"/>
      <c r="B81" s="28" t="s">
        <v>152</v>
      </c>
      <c r="C81" s="54" t="s">
        <v>236</v>
      </c>
      <c r="D81" s="55"/>
      <c r="E81" s="66"/>
      <c r="F81" s="66"/>
      <c r="G81" s="67"/>
      <c r="H81" s="67"/>
      <c r="I81" s="67"/>
      <c r="J81" s="67"/>
      <c r="K81" s="68"/>
      <c r="L81" s="68"/>
      <c r="M81" s="68"/>
      <c r="N81" s="68"/>
      <c r="O81" s="68"/>
      <c r="P81" s="68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</row>
    <row r="82" spans="1:27" ht="23.25" customHeight="1" x14ac:dyDescent="0.2">
      <c r="A82" s="65" t="s">
        <v>245</v>
      </c>
      <c r="B82" s="31" t="s">
        <v>153</v>
      </c>
      <c r="C82" s="33" t="s">
        <v>154</v>
      </c>
      <c r="D82" s="8" t="s">
        <v>67</v>
      </c>
      <c r="E82" s="82">
        <v>35.674100000000003</v>
      </c>
      <c r="F82" s="83" t="s">
        <v>256</v>
      </c>
      <c r="G82" s="79">
        <v>65.076700000000002</v>
      </c>
      <c r="H82" s="84" t="s">
        <v>257</v>
      </c>
      <c r="I82" s="79">
        <v>33.044600000000003</v>
      </c>
      <c r="J82" s="79">
        <f>I82/E82*100</f>
        <v>92.629106270375431</v>
      </c>
      <c r="K82" s="79">
        <v>97.640199999999993</v>
      </c>
      <c r="L82" s="79">
        <f>K82/G82*100</f>
        <v>150.03864670458088</v>
      </c>
      <c r="M82" s="79">
        <v>3.5449999999999999</v>
      </c>
      <c r="N82" s="79">
        <f>M82/I82*100</f>
        <v>10.727925288852035</v>
      </c>
      <c r="O82" s="79">
        <v>85</v>
      </c>
      <c r="P82" s="79">
        <f>O82/K82*100</f>
        <v>87.054307549554395</v>
      </c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</row>
    <row r="83" spans="1:27" ht="23.25" customHeight="1" x14ac:dyDescent="0.2">
      <c r="A83" s="65"/>
      <c r="B83" s="31" t="s">
        <v>155</v>
      </c>
      <c r="C83" s="33" t="s">
        <v>156</v>
      </c>
      <c r="D83" s="8" t="s">
        <v>157</v>
      </c>
      <c r="E83" s="69">
        <v>0</v>
      </c>
      <c r="F83" s="69">
        <v>0</v>
      </c>
      <c r="G83" s="69">
        <v>120</v>
      </c>
      <c r="H83" s="69">
        <v>100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P83" s="69">
        <v>0</v>
      </c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</row>
    <row r="84" spans="1:27" ht="23.25" customHeight="1" x14ac:dyDescent="0.2">
      <c r="A84" s="65"/>
      <c r="B84" s="31" t="s">
        <v>158</v>
      </c>
      <c r="C84" s="33" t="s">
        <v>159</v>
      </c>
      <c r="D84" s="8" t="s">
        <v>160</v>
      </c>
      <c r="E84" s="69">
        <v>0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P84" s="69">
        <v>0</v>
      </c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</row>
    <row r="85" spans="1:27" ht="37.5" x14ac:dyDescent="0.2">
      <c r="A85" s="65"/>
      <c r="B85" s="31" t="s">
        <v>161</v>
      </c>
      <c r="C85" s="33" t="s">
        <v>162</v>
      </c>
      <c r="D85" s="8" t="s">
        <v>163</v>
      </c>
      <c r="E85" s="69">
        <v>0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</row>
    <row r="86" spans="1:27" ht="23.25" customHeight="1" x14ac:dyDescent="0.2">
      <c r="A86" s="65"/>
      <c r="B86" s="31" t="s">
        <v>164</v>
      </c>
      <c r="C86" s="33" t="s">
        <v>165</v>
      </c>
      <c r="D86" s="8" t="s">
        <v>166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P86" s="69">
        <v>0</v>
      </c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</row>
    <row r="87" spans="1:27" ht="23.25" x14ac:dyDescent="0.2">
      <c r="A87" s="22"/>
      <c r="B87" s="28" t="s">
        <v>167</v>
      </c>
      <c r="C87" s="54" t="s">
        <v>168</v>
      </c>
      <c r="D87" s="55"/>
      <c r="E87" s="66"/>
      <c r="F87" s="66"/>
      <c r="G87" s="67"/>
      <c r="H87" s="67"/>
      <c r="I87" s="67"/>
      <c r="J87" s="67"/>
      <c r="K87" s="68"/>
      <c r="L87" s="68"/>
      <c r="M87" s="68"/>
      <c r="N87" s="68"/>
      <c r="O87" s="68"/>
      <c r="P87" s="68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</row>
    <row r="88" spans="1:27" ht="37.5" x14ac:dyDescent="0.2">
      <c r="A88" s="53" t="s">
        <v>243</v>
      </c>
      <c r="B88" s="31" t="s">
        <v>169</v>
      </c>
      <c r="C88" s="33" t="s">
        <v>170</v>
      </c>
      <c r="D88" s="8" t="s">
        <v>21</v>
      </c>
      <c r="E88" s="70">
        <v>27</v>
      </c>
      <c r="F88" s="69">
        <v>100</v>
      </c>
      <c r="G88" s="71">
        <v>27</v>
      </c>
      <c r="H88" s="67">
        <v>103.9</v>
      </c>
      <c r="I88" s="71">
        <v>25</v>
      </c>
      <c r="J88" s="67">
        <f>I88/E88*100</f>
        <v>92.592592592592595</v>
      </c>
      <c r="K88" s="71">
        <v>24</v>
      </c>
      <c r="L88" s="67">
        <f>K88/G88*100</f>
        <v>88.888888888888886</v>
      </c>
      <c r="M88" s="71">
        <v>23</v>
      </c>
      <c r="N88" s="67">
        <f>M88/I88*100</f>
        <v>92</v>
      </c>
      <c r="O88" s="71">
        <v>23</v>
      </c>
      <c r="P88" s="67">
        <f>O88/K88*100</f>
        <v>95.833333333333343</v>
      </c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</row>
    <row r="89" spans="1:27" ht="23.25" customHeight="1" x14ac:dyDescent="0.2">
      <c r="A89" s="53"/>
      <c r="B89" s="31" t="s">
        <v>171</v>
      </c>
      <c r="C89" s="32" t="s">
        <v>172</v>
      </c>
      <c r="D89" s="8" t="s">
        <v>21</v>
      </c>
      <c r="E89" s="70">
        <v>22</v>
      </c>
      <c r="F89" s="69">
        <v>100</v>
      </c>
      <c r="G89" s="71">
        <v>22</v>
      </c>
      <c r="H89" s="67">
        <v>103.9</v>
      </c>
      <c r="I89" s="71">
        <v>20</v>
      </c>
      <c r="J89" s="67">
        <f>I89/E89*100</f>
        <v>90.909090909090907</v>
      </c>
      <c r="K89" s="71">
        <v>19</v>
      </c>
      <c r="L89" s="67">
        <f>K89/G89*100</f>
        <v>86.36363636363636</v>
      </c>
      <c r="M89" s="71">
        <v>18</v>
      </c>
      <c r="N89" s="67">
        <f>M89/I89*100</f>
        <v>90</v>
      </c>
      <c r="O89" s="71">
        <v>18</v>
      </c>
      <c r="P89" s="67">
        <f>O89/K89*100</f>
        <v>94.73684210526315</v>
      </c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</row>
    <row r="90" spans="1:27" ht="23.25" customHeight="1" x14ac:dyDescent="0.2">
      <c r="A90" s="53"/>
      <c r="B90" s="31" t="s">
        <v>173</v>
      </c>
      <c r="C90" s="32" t="s">
        <v>174</v>
      </c>
      <c r="D90" s="8" t="s">
        <v>21</v>
      </c>
      <c r="E90" s="70">
        <v>21</v>
      </c>
      <c r="F90" s="69">
        <v>100</v>
      </c>
      <c r="G90" s="71">
        <v>21</v>
      </c>
      <c r="H90" s="67">
        <v>105</v>
      </c>
      <c r="I90" s="71">
        <v>20</v>
      </c>
      <c r="J90" s="67">
        <f>I90/E90*100</f>
        <v>95.238095238095227</v>
      </c>
      <c r="K90" s="71">
        <v>19</v>
      </c>
      <c r="L90" s="67">
        <f>K90/G90*100</f>
        <v>90.476190476190482</v>
      </c>
      <c r="M90" s="71">
        <v>18</v>
      </c>
      <c r="N90" s="67">
        <f>M90/I90*100</f>
        <v>90</v>
      </c>
      <c r="O90" s="71">
        <v>18</v>
      </c>
      <c r="P90" s="67">
        <f>O90/K90*100</f>
        <v>94.73684210526315</v>
      </c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</row>
    <row r="91" spans="1:27" ht="23.25" customHeight="1" x14ac:dyDescent="0.2">
      <c r="A91" s="53"/>
      <c r="B91" s="31" t="s">
        <v>175</v>
      </c>
      <c r="C91" s="32" t="s">
        <v>176</v>
      </c>
      <c r="D91" s="8" t="s">
        <v>21</v>
      </c>
      <c r="E91" s="70">
        <v>27</v>
      </c>
      <c r="F91" s="69">
        <v>100</v>
      </c>
      <c r="G91" s="71">
        <v>27</v>
      </c>
      <c r="H91" s="67">
        <v>103.9</v>
      </c>
      <c r="I91" s="71">
        <v>25</v>
      </c>
      <c r="J91" s="67">
        <f>I91/E91*100</f>
        <v>92.592592592592595</v>
      </c>
      <c r="K91" s="71">
        <v>24</v>
      </c>
      <c r="L91" s="67">
        <f>K91/G91*100</f>
        <v>88.888888888888886</v>
      </c>
      <c r="M91" s="71">
        <v>23</v>
      </c>
      <c r="N91" s="67">
        <f>M91/I91*100</f>
        <v>92</v>
      </c>
      <c r="O91" s="71">
        <v>23</v>
      </c>
      <c r="P91" s="67">
        <f>O91/K91*100</f>
        <v>95.833333333333343</v>
      </c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</row>
    <row r="92" spans="1:27" ht="23.25" customHeight="1" x14ac:dyDescent="0.2">
      <c r="A92" s="53"/>
      <c r="B92" s="31" t="s">
        <v>177</v>
      </c>
      <c r="C92" s="32" t="s">
        <v>174</v>
      </c>
      <c r="D92" s="8" t="s">
        <v>21</v>
      </c>
      <c r="E92" s="70">
        <v>24</v>
      </c>
      <c r="F92" s="69">
        <v>100</v>
      </c>
      <c r="G92" s="71">
        <v>24</v>
      </c>
      <c r="H92" s="67">
        <v>104.4</v>
      </c>
      <c r="I92" s="71">
        <v>23</v>
      </c>
      <c r="J92" s="67">
        <f>I92/E92*100</f>
        <v>95.833333333333343</v>
      </c>
      <c r="K92" s="71">
        <v>22</v>
      </c>
      <c r="L92" s="67">
        <f>K92/G92*100</f>
        <v>91.666666666666657</v>
      </c>
      <c r="M92" s="71">
        <v>21</v>
      </c>
      <c r="N92" s="67">
        <f>M92/I92*100</f>
        <v>91.304347826086953</v>
      </c>
      <c r="O92" s="71">
        <v>21</v>
      </c>
      <c r="P92" s="67">
        <f>O92/K92*100</f>
        <v>95.454545454545453</v>
      </c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</row>
    <row r="93" spans="1:27" ht="37.5" x14ac:dyDescent="0.2">
      <c r="A93" s="53"/>
      <c r="B93" s="31" t="s">
        <v>178</v>
      </c>
      <c r="C93" s="33" t="s">
        <v>179</v>
      </c>
      <c r="D93" s="8" t="s">
        <v>180</v>
      </c>
      <c r="E93" s="69">
        <v>100</v>
      </c>
      <c r="F93" s="69" t="s">
        <v>88</v>
      </c>
      <c r="G93" s="67">
        <v>100</v>
      </c>
      <c r="H93" s="67" t="s">
        <v>88</v>
      </c>
      <c r="I93" s="67">
        <v>100</v>
      </c>
      <c r="J93" s="67" t="s">
        <v>88</v>
      </c>
      <c r="K93" s="67">
        <v>100</v>
      </c>
      <c r="L93" s="67" t="s">
        <v>88</v>
      </c>
      <c r="M93" s="67">
        <v>100</v>
      </c>
      <c r="N93" s="67" t="s">
        <v>88</v>
      </c>
      <c r="O93" s="67" t="s">
        <v>88</v>
      </c>
      <c r="P93" s="67" t="s">
        <v>88</v>
      </c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</row>
    <row r="94" spans="1:27" ht="23.25" customHeight="1" x14ac:dyDescent="0.2">
      <c r="A94" s="53"/>
      <c r="B94" s="31" t="s">
        <v>181</v>
      </c>
      <c r="C94" s="33" t="s">
        <v>182</v>
      </c>
      <c r="D94" s="8" t="s">
        <v>28</v>
      </c>
      <c r="E94" s="69">
        <v>858.01</v>
      </c>
      <c r="F94" s="69">
        <v>92</v>
      </c>
      <c r="G94" s="67">
        <v>1008.7</v>
      </c>
      <c r="H94" s="67">
        <v>96.7</v>
      </c>
      <c r="I94" s="67">
        <v>735.1</v>
      </c>
      <c r="J94" s="67">
        <f>I94/E94*100</f>
        <v>85.67499213295882</v>
      </c>
      <c r="K94" s="67">
        <v>924.8</v>
      </c>
      <c r="L94" s="67">
        <f>K94/G94*100</f>
        <v>91.682363438088615</v>
      </c>
      <c r="M94" s="67">
        <v>763.1</v>
      </c>
      <c r="N94" s="67">
        <f>M94/I94*100</f>
        <v>103.80900557747246</v>
      </c>
      <c r="O94" s="67" t="s">
        <v>88</v>
      </c>
      <c r="P94" s="67" t="s">
        <v>88</v>
      </c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</row>
    <row r="95" spans="1:27" ht="37.5" x14ac:dyDescent="0.2">
      <c r="A95" s="53"/>
      <c r="B95" s="31" t="s">
        <v>183</v>
      </c>
      <c r="C95" s="33" t="s">
        <v>184</v>
      </c>
      <c r="D95" s="8" t="s">
        <v>180</v>
      </c>
      <c r="E95" s="69">
        <v>91.1</v>
      </c>
      <c r="F95" s="69" t="s">
        <v>88</v>
      </c>
      <c r="G95" s="67">
        <v>89.4</v>
      </c>
      <c r="H95" s="67" t="s">
        <v>88</v>
      </c>
      <c r="I95" s="67">
        <v>93.7</v>
      </c>
      <c r="J95" s="67" t="s">
        <v>88</v>
      </c>
      <c r="K95" s="67">
        <v>90.1</v>
      </c>
      <c r="L95" s="67" t="s">
        <v>88</v>
      </c>
      <c r="M95" s="67">
        <v>89.2</v>
      </c>
      <c r="N95" s="67" t="s">
        <v>88</v>
      </c>
      <c r="O95" s="67" t="s">
        <v>88</v>
      </c>
      <c r="P95" s="67" t="s">
        <v>88</v>
      </c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</row>
    <row r="96" spans="1:27" ht="37.5" x14ac:dyDescent="0.2">
      <c r="A96" s="53"/>
      <c r="B96" s="31" t="s">
        <v>185</v>
      </c>
      <c r="C96" s="32" t="s">
        <v>186</v>
      </c>
      <c r="D96" s="8" t="s">
        <v>28</v>
      </c>
      <c r="E96" s="69">
        <v>18.8</v>
      </c>
      <c r="F96" s="69">
        <v>72</v>
      </c>
      <c r="G96" s="67">
        <v>31.99</v>
      </c>
      <c r="H96" s="67">
        <v>75</v>
      </c>
      <c r="I96" s="67">
        <v>14.97</v>
      </c>
      <c r="J96" s="67">
        <f>I96/E96*100</f>
        <v>79.627659574468083</v>
      </c>
      <c r="K96" s="67">
        <v>27.81</v>
      </c>
      <c r="L96" s="67">
        <f>K96/G96*100</f>
        <v>86.933416692716463</v>
      </c>
      <c r="M96" s="67">
        <v>13.57</v>
      </c>
      <c r="N96" s="67">
        <f>M96/I96*100</f>
        <v>90.647962591850359</v>
      </c>
      <c r="O96" s="67" t="s">
        <v>258</v>
      </c>
      <c r="P96" s="67" t="s">
        <v>88</v>
      </c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</row>
    <row r="97" spans="1:27" ht="37.5" x14ac:dyDescent="0.2">
      <c r="A97" s="53"/>
      <c r="B97" s="31" t="s">
        <v>187</v>
      </c>
      <c r="C97" s="32" t="s">
        <v>188</v>
      </c>
      <c r="D97" s="8" t="s">
        <v>180</v>
      </c>
      <c r="E97" s="69">
        <v>100</v>
      </c>
      <c r="F97" s="69" t="s">
        <v>88</v>
      </c>
      <c r="G97" s="69">
        <v>100</v>
      </c>
      <c r="H97" s="69" t="s">
        <v>88</v>
      </c>
      <c r="I97" s="69">
        <v>100</v>
      </c>
      <c r="J97" s="69" t="s">
        <v>88</v>
      </c>
      <c r="K97" s="69">
        <v>100</v>
      </c>
      <c r="L97" s="69" t="s">
        <v>88</v>
      </c>
      <c r="M97" s="69">
        <v>100</v>
      </c>
      <c r="N97" s="69" t="s">
        <v>88</v>
      </c>
      <c r="O97" s="69" t="s">
        <v>88</v>
      </c>
      <c r="P97" s="69" t="s">
        <v>88</v>
      </c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</row>
    <row r="98" spans="1:27" ht="56.25" x14ac:dyDescent="0.2">
      <c r="A98" s="53"/>
      <c r="B98" s="31" t="s">
        <v>189</v>
      </c>
      <c r="C98" s="32" t="s">
        <v>190</v>
      </c>
      <c r="D98" s="8" t="s">
        <v>21</v>
      </c>
      <c r="E98" s="69">
        <v>1243</v>
      </c>
      <c r="F98" s="69">
        <v>81</v>
      </c>
      <c r="G98" s="67">
        <v>1337</v>
      </c>
      <c r="H98" s="67">
        <v>82</v>
      </c>
      <c r="I98" s="67">
        <v>1002</v>
      </c>
      <c r="J98" s="67">
        <f>I98/E98*100</f>
        <v>80.611423974255842</v>
      </c>
      <c r="K98" s="67">
        <v>1093</v>
      </c>
      <c r="L98" s="67">
        <f t="shared" ref="L98:L99" si="11">K98/G98*100</f>
        <v>81.750186985789071</v>
      </c>
      <c r="M98" s="67">
        <v>862</v>
      </c>
      <c r="N98" s="67">
        <f>M98/I98*100</f>
        <v>86.027944111776449</v>
      </c>
      <c r="O98" s="67" t="s">
        <v>258</v>
      </c>
      <c r="P98" s="67" t="s">
        <v>88</v>
      </c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</row>
    <row r="99" spans="1:27" ht="56.25" x14ac:dyDescent="0.2">
      <c r="A99" s="53"/>
      <c r="B99" s="31" t="s">
        <v>191</v>
      </c>
      <c r="C99" s="32" t="s">
        <v>192</v>
      </c>
      <c r="D99" s="8" t="s">
        <v>11</v>
      </c>
      <c r="E99" s="69">
        <v>2649</v>
      </c>
      <c r="F99" s="69">
        <v>85</v>
      </c>
      <c r="G99" s="67">
        <v>2915</v>
      </c>
      <c r="H99" s="67">
        <v>84</v>
      </c>
      <c r="I99" s="67">
        <v>1706</v>
      </c>
      <c r="J99" s="67">
        <f>I99/E99*100</f>
        <v>64.401661004152515</v>
      </c>
      <c r="K99" s="67">
        <v>1465</v>
      </c>
      <c r="L99" s="67">
        <f t="shared" si="11"/>
        <v>50.257289879931392</v>
      </c>
      <c r="M99" s="67">
        <v>1576</v>
      </c>
      <c r="N99" s="67">
        <f>M99/I99*100</f>
        <v>92.379835873388032</v>
      </c>
      <c r="O99" s="67" t="s">
        <v>258</v>
      </c>
      <c r="P99" s="67" t="s">
        <v>88</v>
      </c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</row>
    <row r="100" spans="1:27" ht="23.25" x14ac:dyDescent="0.2">
      <c r="A100" s="22"/>
      <c r="B100" s="28" t="s">
        <v>193</v>
      </c>
      <c r="C100" s="54" t="s">
        <v>194</v>
      </c>
      <c r="D100" s="55"/>
      <c r="E100" s="66"/>
      <c r="F100" s="66"/>
      <c r="G100" s="67"/>
      <c r="H100" s="67"/>
      <c r="I100" s="67"/>
      <c r="J100" s="67"/>
      <c r="K100" s="68"/>
      <c r="L100" s="68"/>
      <c r="M100" s="85"/>
      <c r="N100" s="68"/>
      <c r="O100" s="68"/>
      <c r="P100" s="68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</row>
    <row r="101" spans="1:27" ht="56.25" x14ac:dyDescent="0.2">
      <c r="A101" s="62" t="s">
        <v>241</v>
      </c>
      <c r="B101" s="31" t="s">
        <v>195</v>
      </c>
      <c r="C101" s="33" t="s">
        <v>196</v>
      </c>
      <c r="D101" s="8" t="s">
        <v>197</v>
      </c>
      <c r="E101" s="69">
        <v>93935.3</v>
      </c>
      <c r="F101" s="69">
        <f>E101/91588.3*100</f>
        <v>102.56255438740538</v>
      </c>
      <c r="G101" s="67">
        <v>101413.7</v>
      </c>
      <c r="H101" s="67">
        <f>G101/90470*100</f>
        <v>112.0964960760473</v>
      </c>
      <c r="I101" s="67">
        <v>107089.4</v>
      </c>
      <c r="J101" s="67">
        <f>I101/E101*100</f>
        <v>114.00336188844875</v>
      </c>
      <c r="K101" s="67">
        <v>115203.3</v>
      </c>
      <c r="L101" s="67">
        <f>K101/G101*100</f>
        <v>113.59737392482477</v>
      </c>
      <c r="M101" s="67">
        <v>134284.20000000001</v>
      </c>
      <c r="N101" s="67">
        <f>M101/I101*100</f>
        <v>125.39448348762812</v>
      </c>
      <c r="O101" s="67">
        <v>134284.20000000001</v>
      </c>
      <c r="P101" s="67">
        <f>O101/K101*100</f>
        <v>116.56280679459702</v>
      </c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</row>
    <row r="102" spans="1:27" ht="23.25" customHeight="1" x14ac:dyDescent="0.2">
      <c r="A102" s="62"/>
      <c r="B102" s="31" t="s">
        <v>198</v>
      </c>
      <c r="C102" s="33" t="s">
        <v>199</v>
      </c>
      <c r="D102" s="8" t="s">
        <v>197</v>
      </c>
      <c r="E102" s="69">
        <v>50515</v>
      </c>
      <c r="F102" s="69">
        <f>E102/43942*100</f>
        <v>114.95835419416505</v>
      </c>
      <c r="G102" s="67">
        <v>51899.68</v>
      </c>
      <c r="H102" s="67">
        <f>G102/47176.1*100</f>
        <v>110.0126547128737</v>
      </c>
      <c r="I102" s="67">
        <v>54767.839999999997</v>
      </c>
      <c r="J102" s="67">
        <f>I102/E102*100</f>
        <v>108.41896466396119</v>
      </c>
      <c r="K102" s="67">
        <v>55885.55</v>
      </c>
      <c r="L102" s="67">
        <f>K102/G102*100</f>
        <v>107.67995101318544</v>
      </c>
      <c r="M102" s="67">
        <v>57063.28</v>
      </c>
      <c r="N102" s="67">
        <f>M102/I102*100</f>
        <v>104.19121878825237</v>
      </c>
      <c r="O102" s="67">
        <v>59192.2</v>
      </c>
      <c r="P102" s="67">
        <f>O102/K102*100</f>
        <v>105.91682465324219</v>
      </c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</row>
    <row r="103" spans="1:27" ht="23.25" customHeight="1" x14ac:dyDescent="0.2">
      <c r="A103" s="62"/>
      <c r="B103" s="31" t="s">
        <v>200</v>
      </c>
      <c r="C103" s="33" t="s">
        <v>201</v>
      </c>
      <c r="D103" s="8" t="s">
        <v>197</v>
      </c>
      <c r="E103" s="69">
        <f>(E52+E55)/6/E9*1000</f>
        <v>24704.963628583657</v>
      </c>
      <c r="F103" s="69">
        <f>E103/23117.4*100</f>
        <v>106.86739697623287</v>
      </c>
      <c r="G103" s="67">
        <f>(G52+G55)/12/G9*1000</f>
        <v>26257.434512167754</v>
      </c>
      <c r="H103" s="67">
        <f>G103/24381.44*100</f>
        <v>107.69435485421597</v>
      </c>
      <c r="I103" s="67">
        <f>(I52+I55)/6/I9*1000</f>
        <v>26113.770015021251</v>
      </c>
      <c r="J103" s="67">
        <f>I103/E103*100</f>
        <v>105.70252362083062</v>
      </c>
      <c r="K103" s="67">
        <f>(K52+K55)/12/K9*1000</f>
        <v>27270.071784276333</v>
      </c>
      <c r="L103" s="67">
        <f>K103/G103*100</f>
        <v>103.85657354163568</v>
      </c>
      <c r="M103" s="67">
        <f>(M52+M55)/6/M9*1000</f>
        <v>27184.013546232851</v>
      </c>
      <c r="N103" s="67">
        <f>M103/I103*100</f>
        <v>104.09838767284836</v>
      </c>
      <c r="O103" s="67">
        <f>(O52+O55)/12/O9*1000</f>
        <v>28349.990151664369</v>
      </c>
      <c r="P103" s="67">
        <f>O103/K103*100</f>
        <v>103.9600862657454</v>
      </c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</row>
    <row r="104" spans="1:27" ht="23.25" customHeight="1" x14ac:dyDescent="0.2">
      <c r="A104" s="62"/>
      <c r="B104" s="31" t="s">
        <v>202</v>
      </c>
      <c r="C104" s="33" t="s">
        <v>203</v>
      </c>
      <c r="D104" s="8" t="s">
        <v>180</v>
      </c>
      <c r="E104" s="82">
        <f>E102/43942/1.138*100</f>
        <v>101.01788593511868</v>
      </c>
      <c r="F104" s="83" t="s">
        <v>88</v>
      </c>
      <c r="G104" s="86">
        <f>G102/47176.1/1.138*100</f>
        <v>96.671928570187788</v>
      </c>
      <c r="H104" s="84" t="s">
        <v>88</v>
      </c>
      <c r="I104" s="84">
        <f>I102/E102/1.059*100</f>
        <v>102.37862574500585</v>
      </c>
      <c r="J104" s="84" t="s">
        <v>88</v>
      </c>
      <c r="K104" s="86">
        <v>101.78</v>
      </c>
      <c r="L104" s="84" t="s">
        <v>88</v>
      </c>
      <c r="M104" s="84">
        <f>M102/I102/1.066*100</f>
        <v>97.740355336071644</v>
      </c>
      <c r="N104" s="84" t="s">
        <v>88</v>
      </c>
      <c r="O104" s="84">
        <f>O102/K102/1.066*100</f>
        <v>99.359122564017056</v>
      </c>
      <c r="P104" s="84" t="s">
        <v>88</v>
      </c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</row>
    <row r="105" spans="1:27" ht="37.5" x14ac:dyDescent="0.2">
      <c r="A105" s="24" t="s">
        <v>246</v>
      </c>
      <c r="B105" s="31" t="s">
        <v>204</v>
      </c>
      <c r="C105" s="33" t="s">
        <v>205</v>
      </c>
      <c r="D105" s="8" t="s">
        <v>197</v>
      </c>
      <c r="E105" s="69">
        <v>26670.21</v>
      </c>
      <c r="F105" s="69">
        <f>E105/23215.06*100</f>
        <v>114.88322666407065</v>
      </c>
      <c r="G105" s="67">
        <v>28100.57</v>
      </c>
      <c r="H105" s="67">
        <f>G105/24086.5*100</f>
        <v>116.66522740954477</v>
      </c>
      <c r="I105" s="67">
        <v>28340.93</v>
      </c>
      <c r="J105" s="67">
        <f>I105/E105*100</f>
        <v>106.26436762215221</v>
      </c>
      <c r="K105" s="67">
        <v>30303</v>
      </c>
      <c r="L105" s="67">
        <f>K105/G105*100</f>
        <v>107.83767019672554</v>
      </c>
      <c r="M105" s="67">
        <v>30817.57</v>
      </c>
      <c r="N105" s="67">
        <f>M105/I105*100</f>
        <v>108.73873934271035</v>
      </c>
      <c r="O105" s="67">
        <v>31427.8</v>
      </c>
      <c r="P105" s="67">
        <f>O105/K105*100</f>
        <v>103.7118437118437</v>
      </c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</row>
    <row r="106" spans="1:27" ht="37.5" x14ac:dyDescent="0.2">
      <c r="A106" s="62" t="s">
        <v>241</v>
      </c>
      <c r="B106" s="31" t="s">
        <v>206</v>
      </c>
      <c r="C106" s="33" t="s">
        <v>207</v>
      </c>
      <c r="D106" s="8" t="s">
        <v>180</v>
      </c>
      <c r="E106" s="69">
        <f>E105/16067*100</f>
        <v>165.99371382336466</v>
      </c>
      <c r="F106" s="69" t="s">
        <v>88</v>
      </c>
      <c r="G106" s="67">
        <f>G105/16067*100</f>
        <v>174.89618472645796</v>
      </c>
      <c r="H106" s="67" t="s">
        <v>88</v>
      </c>
      <c r="I106" s="67">
        <f>I105/16951*100</f>
        <v>167.19326293434017</v>
      </c>
      <c r="J106" s="67" t="s">
        <v>88</v>
      </c>
      <c r="K106" s="67">
        <f>K105/16951*100</f>
        <v>178.76821426464517</v>
      </c>
      <c r="L106" s="67" t="s">
        <v>88</v>
      </c>
      <c r="M106" s="67">
        <f>M105/17629*100</f>
        <v>174.81178739576833</v>
      </c>
      <c r="N106" s="67" t="s">
        <v>88</v>
      </c>
      <c r="O106" s="67">
        <f t="shared" ref="O106" si="12">O105/17629*100</f>
        <v>178.27329967666913</v>
      </c>
      <c r="P106" s="67" t="s">
        <v>88</v>
      </c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</row>
    <row r="107" spans="1:27" ht="23.25" customHeight="1" x14ac:dyDescent="0.2">
      <c r="A107" s="62"/>
      <c r="B107" s="31" t="s">
        <v>208</v>
      </c>
      <c r="C107" s="33" t="s">
        <v>209</v>
      </c>
      <c r="D107" s="8" t="s">
        <v>210</v>
      </c>
      <c r="E107" s="69">
        <f>E52/E9</f>
        <v>112.50537548138639</v>
      </c>
      <c r="F107" s="69">
        <f>E107/104.95*100</f>
        <v>107.19902380313138</v>
      </c>
      <c r="G107" s="69">
        <f>G52/G9</f>
        <v>239.15058193593896</v>
      </c>
      <c r="H107" s="69">
        <f>G107/222.32*100</f>
        <v>107.57043088158464</v>
      </c>
      <c r="I107" s="69">
        <f>I52/I9</f>
        <v>118.89521876697881</v>
      </c>
      <c r="J107" s="69">
        <f>I107/E107*100</f>
        <v>105.67958931584526</v>
      </c>
      <c r="K107" s="69">
        <f>K52/K9</f>
        <v>248.94500953591864</v>
      </c>
      <c r="L107" s="69">
        <f>K107/G107*100</f>
        <v>104.09550648829418</v>
      </c>
      <c r="M107" s="69">
        <f>M52/M9</f>
        <v>123.71120887468152</v>
      </c>
      <c r="N107" s="69">
        <f>M107/I107*100</f>
        <v>104.05061713805456</v>
      </c>
      <c r="O107" s="69">
        <f>O52/O9</f>
        <v>259.15777033681309</v>
      </c>
      <c r="P107" s="69">
        <f>O107/K107*100</f>
        <v>104.10241636091962</v>
      </c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</row>
    <row r="108" spans="1:27" ht="23.25" customHeight="1" x14ac:dyDescent="0.2">
      <c r="A108" s="62"/>
      <c r="B108" s="31" t="s">
        <v>211</v>
      </c>
      <c r="C108" s="33" t="s">
        <v>212</v>
      </c>
      <c r="D108" s="8" t="s">
        <v>210</v>
      </c>
      <c r="E108" s="69">
        <f>E55/E9</f>
        <v>35.724406290115532</v>
      </c>
      <c r="F108" s="69">
        <f>E108/33.76*100</f>
        <v>105.81873901100573</v>
      </c>
      <c r="G108" s="69">
        <f>G55/G9</f>
        <v>75.938632210074061</v>
      </c>
      <c r="H108" s="69">
        <f>G108/70.25*100</f>
        <v>108.09769709619084</v>
      </c>
      <c r="I108" s="69">
        <f>I55/I9</f>
        <v>37.787401323148707</v>
      </c>
      <c r="J108" s="69">
        <f>I108/E108*100</f>
        <v>105.77474966631979</v>
      </c>
      <c r="K108" s="69">
        <f>K55/K9</f>
        <v>78.295851875397332</v>
      </c>
      <c r="L108" s="69">
        <f>K108/G108*100</f>
        <v>103.10411130240315</v>
      </c>
      <c r="M108" s="69">
        <f>M55/M9</f>
        <v>39.392872402715575</v>
      </c>
      <c r="N108" s="69">
        <f>M108/I108*100</f>
        <v>104.24869407090812</v>
      </c>
      <c r="O108" s="69">
        <f>O55/O9</f>
        <v>81.042111483159346</v>
      </c>
      <c r="P108" s="69">
        <f>O108/K108*100</f>
        <v>103.50754164107252</v>
      </c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</row>
    <row r="109" spans="1:27" ht="56.25" x14ac:dyDescent="0.2">
      <c r="A109" s="62"/>
      <c r="B109" s="31" t="s">
        <v>213</v>
      </c>
      <c r="C109" s="33" t="s">
        <v>214</v>
      </c>
      <c r="D109" s="8" t="s">
        <v>215</v>
      </c>
      <c r="E109" s="83" t="s">
        <v>258</v>
      </c>
      <c r="F109" s="83" t="s">
        <v>88</v>
      </c>
      <c r="G109" s="83" t="s">
        <v>258</v>
      </c>
      <c r="H109" s="83" t="s">
        <v>88</v>
      </c>
      <c r="I109" s="83" t="s">
        <v>258</v>
      </c>
      <c r="J109" s="83" t="s">
        <v>88</v>
      </c>
      <c r="K109" s="83" t="s">
        <v>258</v>
      </c>
      <c r="L109" s="83" t="s">
        <v>88</v>
      </c>
      <c r="M109" s="83" t="s">
        <v>258</v>
      </c>
      <c r="N109" s="83" t="s">
        <v>88</v>
      </c>
      <c r="O109" s="83" t="s">
        <v>258</v>
      </c>
      <c r="P109" s="83" t="s">
        <v>88</v>
      </c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</row>
    <row r="110" spans="1:27" ht="23.25" customHeight="1" x14ac:dyDescent="0.2">
      <c r="A110" s="62"/>
      <c r="B110" s="28" t="s">
        <v>216</v>
      </c>
      <c r="C110" s="54" t="s">
        <v>217</v>
      </c>
      <c r="D110" s="55"/>
      <c r="E110" s="77"/>
      <c r="F110" s="77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</row>
    <row r="111" spans="1:27" ht="56.25" x14ac:dyDescent="0.2">
      <c r="A111" s="62"/>
      <c r="B111" s="31" t="s">
        <v>218</v>
      </c>
      <c r="C111" s="33" t="s">
        <v>219</v>
      </c>
      <c r="D111" s="8" t="s">
        <v>21</v>
      </c>
      <c r="E111" s="70">
        <v>1296</v>
      </c>
      <c r="F111" s="69">
        <f>E111/1270*100</f>
        <v>102.04724409448819</v>
      </c>
      <c r="G111" s="71">
        <v>1318</v>
      </c>
      <c r="H111" s="67">
        <f>G111/1274*100</f>
        <v>103.45368916797489</v>
      </c>
      <c r="I111" s="71">
        <v>1300</v>
      </c>
      <c r="J111" s="67">
        <f>I111/E111*100</f>
        <v>100.30864197530865</v>
      </c>
      <c r="K111" s="71">
        <v>1283</v>
      </c>
      <c r="L111" s="67">
        <f>K111/G111*100</f>
        <v>97.344461305007584</v>
      </c>
      <c r="M111" s="71">
        <v>1228</v>
      </c>
      <c r="N111" s="67">
        <f>M111/I111*100</f>
        <v>94.461538461538467</v>
      </c>
      <c r="O111" s="71">
        <v>1322</v>
      </c>
      <c r="P111" s="67">
        <f>O111/K111*100</f>
        <v>103.03975058456743</v>
      </c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</row>
    <row r="112" spans="1:27" ht="23.25" customHeight="1" x14ac:dyDescent="0.2">
      <c r="A112" s="62"/>
      <c r="B112" s="31" t="s">
        <v>220</v>
      </c>
      <c r="C112" s="33" t="s">
        <v>221</v>
      </c>
      <c r="D112" s="8" t="s">
        <v>11</v>
      </c>
      <c r="E112" s="70">
        <v>2976</v>
      </c>
      <c r="F112" s="69">
        <f>E112/2964*100</f>
        <v>100.40485829959513</v>
      </c>
      <c r="G112" s="71">
        <v>2981</v>
      </c>
      <c r="H112" s="67">
        <f>G112/2972*100</f>
        <v>100.3028263795424</v>
      </c>
      <c r="I112" s="71">
        <v>3047</v>
      </c>
      <c r="J112" s="67">
        <f>I112/E112*100</f>
        <v>102.38575268817205</v>
      </c>
      <c r="K112" s="71">
        <v>3113</v>
      </c>
      <c r="L112" s="67">
        <f>K112/G112*100</f>
        <v>104.4280442804428</v>
      </c>
      <c r="M112" s="71">
        <v>3064</v>
      </c>
      <c r="N112" s="67">
        <f>M112/I112*100</f>
        <v>100.55792582868395</v>
      </c>
      <c r="O112" s="71">
        <v>3184</v>
      </c>
      <c r="P112" s="67">
        <f>O112/K112*100</f>
        <v>102.28075811114681</v>
      </c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</row>
    <row r="113" spans="1:27" ht="37.5" x14ac:dyDescent="0.2">
      <c r="A113" s="62"/>
      <c r="B113" s="31" t="s">
        <v>222</v>
      </c>
      <c r="C113" s="33" t="s">
        <v>223</v>
      </c>
      <c r="D113" s="8" t="s">
        <v>224</v>
      </c>
      <c r="E113" s="69">
        <v>19.8</v>
      </c>
      <c r="F113" s="69">
        <f>E113/19.75*100</f>
        <v>100.25316455696202</v>
      </c>
      <c r="G113" s="67">
        <v>19.95</v>
      </c>
      <c r="H113" s="67">
        <f>G113/19.654*100</f>
        <v>101.50605474712526</v>
      </c>
      <c r="I113" s="67">
        <v>20.02</v>
      </c>
      <c r="J113" s="67">
        <f>I113/E113*100</f>
        <v>101.11111111111111</v>
      </c>
      <c r="K113" s="67">
        <v>20.09</v>
      </c>
      <c r="L113" s="67">
        <f>K113/G113*100</f>
        <v>100.70175438596492</v>
      </c>
      <c r="M113" s="67">
        <v>20.164999999999999</v>
      </c>
      <c r="N113" s="67">
        <f>M113/I113*100</f>
        <v>100.72427572427571</v>
      </c>
      <c r="O113" s="67">
        <v>20.236000000000001</v>
      </c>
      <c r="P113" s="67">
        <f>O113/K113*100</f>
        <v>100.72672971627676</v>
      </c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</row>
    <row r="114" spans="1:27" ht="37.5" x14ac:dyDescent="0.2">
      <c r="A114" s="62"/>
      <c r="B114" s="31" t="s">
        <v>225</v>
      </c>
      <c r="C114" s="33" t="s">
        <v>226</v>
      </c>
      <c r="D114" s="8" t="s">
        <v>180</v>
      </c>
      <c r="E114" s="69">
        <f>E113/63.118*100</f>
        <v>31.369815266643432</v>
      </c>
      <c r="F114" s="69" t="s">
        <v>88</v>
      </c>
      <c r="G114" s="67">
        <f>G113/63.118*100</f>
        <v>31.607465382299814</v>
      </c>
      <c r="H114" s="67" t="s">
        <v>88</v>
      </c>
      <c r="I114" s="67">
        <f>I113/63.389*100</f>
        <v>31.582766726088117</v>
      </c>
      <c r="J114" s="67" t="s">
        <v>88</v>
      </c>
      <c r="K114" s="67">
        <f>K113/63.389*100</f>
        <v>31.693195980375144</v>
      </c>
      <c r="L114" s="67" t="s">
        <v>88</v>
      </c>
      <c r="M114" s="67">
        <v>31.75</v>
      </c>
      <c r="N114" s="67" t="s">
        <v>88</v>
      </c>
      <c r="O114" s="67">
        <f>O113/63.636*100</f>
        <v>31.799610283487333</v>
      </c>
      <c r="P114" s="67" t="s">
        <v>88</v>
      </c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</row>
    <row r="115" spans="1:27" ht="37.5" x14ac:dyDescent="0.2">
      <c r="A115" s="62"/>
      <c r="B115" s="31" t="s">
        <v>227</v>
      </c>
      <c r="C115" s="33" t="s">
        <v>228</v>
      </c>
      <c r="D115" s="8" t="s">
        <v>229</v>
      </c>
      <c r="E115" s="69">
        <v>18.452999999999999</v>
      </c>
      <c r="F115" s="69">
        <v>100.38</v>
      </c>
      <c r="G115" s="67">
        <v>40.115769999999998</v>
      </c>
      <c r="H115" s="67">
        <f>G115/39.1562*100</f>
        <v>102.45062084676246</v>
      </c>
      <c r="I115" s="67">
        <v>19.276900000000001</v>
      </c>
      <c r="J115" s="67">
        <f>I115/E115*100</f>
        <v>104.46485666287326</v>
      </c>
      <c r="K115" s="67">
        <v>41.014679999999998</v>
      </c>
      <c r="L115" s="67">
        <f>K115/G115*100</f>
        <v>102.24078959471549</v>
      </c>
      <c r="M115" s="67">
        <v>19.338999999999999</v>
      </c>
      <c r="N115" s="67">
        <f>M115/I115*100</f>
        <v>100.32214723321695</v>
      </c>
      <c r="O115" s="67">
        <v>42.040979999999998</v>
      </c>
      <c r="P115" s="67">
        <f>O115/K115*100</f>
        <v>102.50227479526843</v>
      </c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</row>
    <row r="116" spans="1:27" ht="75" x14ac:dyDescent="0.2">
      <c r="A116" s="62"/>
      <c r="B116" s="31" t="s">
        <v>230</v>
      </c>
      <c r="C116" s="33" t="s">
        <v>231</v>
      </c>
      <c r="D116" s="8" t="s">
        <v>224</v>
      </c>
      <c r="E116" s="69">
        <v>3.8450000000000002</v>
      </c>
      <c r="F116" s="69">
        <f>E116/3.704*100</f>
        <v>103.80669546436285</v>
      </c>
      <c r="G116" s="67">
        <v>3.8889999999999998</v>
      </c>
      <c r="H116" s="67">
        <v>104.99</v>
      </c>
      <c r="I116" s="67">
        <v>4.7720000000000002</v>
      </c>
      <c r="J116" s="67">
        <f>I116/E116*100</f>
        <v>124.10923276983095</v>
      </c>
      <c r="K116" s="67">
        <v>5.6550000000000002</v>
      </c>
      <c r="L116" s="67">
        <f>K116/G116*100</f>
        <v>145.41013113911032</v>
      </c>
      <c r="M116" s="67">
        <v>6.75</v>
      </c>
      <c r="N116" s="67">
        <f>M116/I116*100</f>
        <v>141.45012573344508</v>
      </c>
      <c r="O116" s="67">
        <v>7</v>
      </c>
      <c r="P116" s="67">
        <f>O116/K116*100</f>
        <v>123.7842617152962</v>
      </c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</row>
    <row r="117" spans="1:27" ht="26.25" customHeight="1" x14ac:dyDescent="0.2">
      <c r="B117" s="25"/>
      <c r="C117" s="26"/>
      <c r="D117" s="27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</row>
    <row r="118" spans="1:27" ht="26.25" customHeight="1" x14ac:dyDescent="0.2">
      <c r="A118" s="39"/>
      <c r="B118" s="25"/>
      <c r="C118" s="26"/>
      <c r="D118" s="27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</row>
    <row r="119" spans="1:27" ht="26.25" customHeight="1" x14ac:dyDescent="0.2">
      <c r="A119" s="40"/>
      <c r="B119" s="41"/>
      <c r="C119" s="42"/>
      <c r="D119" s="27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</row>
    <row r="120" spans="1:27" ht="26.25" customHeight="1" x14ac:dyDescent="0.2">
      <c r="A120" s="40"/>
      <c r="B120" s="41"/>
      <c r="C120" s="42"/>
      <c r="D120" s="27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</row>
    <row r="121" spans="1:27" ht="26.25" customHeight="1" x14ac:dyDescent="0.2">
      <c r="A121" s="40"/>
      <c r="B121" s="41"/>
      <c r="C121" s="42"/>
      <c r="D121" s="27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</row>
    <row r="122" spans="1:27" ht="26.25" customHeight="1" x14ac:dyDescent="0.2">
      <c r="A122" s="40"/>
      <c r="B122" s="41"/>
      <c r="C122" s="42"/>
      <c r="D122" s="27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</row>
    <row r="123" spans="1:27" ht="26.25" customHeight="1" x14ac:dyDescent="0.2">
      <c r="A123" s="39"/>
      <c r="B123" s="25"/>
      <c r="C123" s="26"/>
      <c r="D123" s="27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</row>
    <row r="124" spans="1:27" ht="26.25" customHeight="1" x14ac:dyDescent="0.2">
      <c r="A124" s="39"/>
      <c r="B124" s="25"/>
      <c r="C124" s="26"/>
      <c r="D124" s="27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</row>
    <row r="125" spans="1:27" ht="26.25" customHeight="1" x14ac:dyDescent="0.2">
      <c r="A125" s="39"/>
      <c r="B125" s="25"/>
      <c r="C125" s="26"/>
      <c r="D125" s="27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</row>
    <row r="126" spans="1:27" ht="26.25" customHeight="1" x14ac:dyDescent="0.2">
      <c r="B126" s="25"/>
      <c r="C126" s="26"/>
      <c r="D126" s="27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</row>
    <row r="127" spans="1:27" ht="26.25" customHeight="1" x14ac:dyDescent="0.2">
      <c r="B127" s="25"/>
      <c r="C127" s="26"/>
      <c r="D127" s="27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</row>
    <row r="128" spans="1:27" ht="26.25" customHeight="1" x14ac:dyDescent="0.2">
      <c r="B128" s="25"/>
      <c r="C128" s="26"/>
      <c r="D128" s="27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</row>
    <row r="129" spans="2:27" ht="26.25" customHeight="1" x14ac:dyDescent="0.2">
      <c r="B129" s="25"/>
      <c r="C129" s="26"/>
      <c r="D129" s="27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</row>
    <row r="130" spans="2:27" ht="26.25" customHeight="1" x14ac:dyDescent="0.2">
      <c r="B130" s="25"/>
      <c r="C130" s="26"/>
      <c r="D130" s="27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</row>
    <row r="131" spans="2:27" ht="26.25" customHeight="1" x14ac:dyDescent="0.2">
      <c r="B131" s="25"/>
      <c r="C131" s="26"/>
      <c r="D131" s="27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</row>
    <row r="132" spans="2:27" ht="26.25" customHeight="1" x14ac:dyDescent="0.2">
      <c r="B132" s="25"/>
      <c r="C132" s="26"/>
      <c r="D132" s="27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</row>
    <row r="133" spans="2:27" ht="26.25" customHeight="1" x14ac:dyDescent="0.2">
      <c r="B133" s="25"/>
      <c r="C133" s="26"/>
      <c r="D133" s="27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</row>
    <row r="134" spans="2:27" ht="26.25" customHeight="1" x14ac:dyDescent="0.2">
      <c r="B134" s="25"/>
      <c r="C134" s="26"/>
      <c r="D134" s="27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</row>
    <row r="135" spans="2:27" ht="26.25" customHeight="1" x14ac:dyDescent="0.2">
      <c r="B135" s="25"/>
      <c r="C135" s="26"/>
      <c r="D135" s="27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</row>
    <row r="136" spans="2:27" ht="26.25" customHeight="1" x14ac:dyDescent="0.2">
      <c r="B136" s="25"/>
      <c r="C136" s="26"/>
      <c r="D136" s="27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</row>
    <row r="137" spans="2:27" ht="26.25" customHeight="1" x14ac:dyDescent="0.2">
      <c r="B137" s="25"/>
      <c r="C137" s="26"/>
      <c r="D137" s="27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</row>
    <row r="138" spans="2:27" ht="26.25" customHeight="1" x14ac:dyDescent="0.2">
      <c r="B138" s="25"/>
      <c r="C138" s="26"/>
      <c r="D138" s="27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</row>
    <row r="139" spans="2:27" ht="26.25" customHeight="1" x14ac:dyDescent="0.2">
      <c r="B139" s="25"/>
      <c r="C139" s="26"/>
      <c r="D139" s="27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</row>
    <row r="140" spans="2:27" ht="26.25" customHeight="1" x14ac:dyDescent="0.2">
      <c r="B140" s="25"/>
      <c r="C140" s="26"/>
      <c r="D140" s="27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</row>
    <row r="141" spans="2:27" ht="26.25" customHeight="1" x14ac:dyDescent="0.2">
      <c r="B141" s="25"/>
      <c r="C141" s="26"/>
      <c r="D141" s="27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</row>
    <row r="142" spans="2:27" ht="26.25" customHeight="1" x14ac:dyDescent="0.2">
      <c r="B142" s="25"/>
      <c r="C142" s="26"/>
      <c r="D142" s="27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</row>
    <row r="143" spans="2:27" ht="26.25" customHeight="1" x14ac:dyDescent="0.2"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</row>
    <row r="144" spans="2:27" ht="26.25" customHeight="1" x14ac:dyDescent="0.2"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</row>
    <row r="145" spans="17:27" ht="26.25" customHeight="1" x14ac:dyDescent="0.2"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</row>
    <row r="146" spans="17:27" ht="26.25" customHeight="1" x14ac:dyDescent="0.2"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</row>
    <row r="147" spans="17:27" ht="26.25" customHeight="1" x14ac:dyDescent="0.2"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</row>
    <row r="148" spans="17:27" ht="26.25" customHeight="1" x14ac:dyDescent="0.2"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</row>
    <row r="149" spans="17:27" ht="26.25" customHeight="1" x14ac:dyDescent="0.2"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</row>
    <row r="150" spans="17:27" ht="26.25" customHeight="1" x14ac:dyDescent="0.2"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</row>
    <row r="151" spans="17:27" ht="26.25" customHeight="1" x14ac:dyDescent="0.2"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</row>
    <row r="152" spans="17:27" ht="26.25" customHeight="1" x14ac:dyDescent="0.2"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</row>
    <row r="153" spans="17:27" ht="26.25" customHeight="1" x14ac:dyDescent="0.2"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</row>
    <row r="154" spans="17:27" ht="26.25" customHeight="1" x14ac:dyDescent="0.2"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</row>
    <row r="155" spans="17:27" ht="26.25" customHeight="1" x14ac:dyDescent="0.2"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</row>
    <row r="156" spans="17:27" ht="26.25" customHeight="1" x14ac:dyDescent="0.2"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</row>
    <row r="157" spans="17:27" ht="26.25" customHeight="1" x14ac:dyDescent="0.2"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</row>
    <row r="158" spans="17:27" ht="26.25" customHeight="1" x14ac:dyDescent="0.2"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</row>
    <row r="159" spans="17:27" ht="26.25" customHeight="1" x14ac:dyDescent="0.2"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</row>
    <row r="160" spans="17:27" ht="26.25" customHeight="1" x14ac:dyDescent="0.2"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</row>
    <row r="161" spans="17:27" ht="26.25" customHeight="1" x14ac:dyDescent="0.2"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</row>
    <row r="162" spans="17:27" ht="26.25" customHeight="1" x14ac:dyDescent="0.2"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</row>
    <row r="163" spans="17:27" ht="26.25" customHeight="1" x14ac:dyDescent="0.2"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</row>
    <row r="164" spans="17:27" ht="26.25" customHeight="1" x14ac:dyDescent="0.2"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</row>
    <row r="165" spans="17:27" ht="26.25" customHeight="1" x14ac:dyDescent="0.2"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</row>
    <row r="166" spans="17:27" ht="26.25" customHeight="1" x14ac:dyDescent="0.2"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</row>
    <row r="221" spans="2:3" ht="26.25" customHeight="1" x14ac:dyDescent="0.3">
      <c r="B221" s="61"/>
      <c r="C221" s="61"/>
    </row>
    <row r="222" spans="2:3" ht="26.25" customHeight="1" x14ac:dyDescent="0.3">
      <c r="B222" s="61"/>
      <c r="C222" s="61"/>
    </row>
    <row r="223" spans="2:3" ht="26.25" customHeight="1" x14ac:dyDescent="0.3">
      <c r="B223" s="61"/>
      <c r="C223" s="61"/>
    </row>
    <row r="224" spans="2:3" ht="26.25" customHeight="1" x14ac:dyDescent="0.35">
      <c r="C224" s="52"/>
    </row>
  </sheetData>
  <sheetProtection algorithmName="SHA-512" hashValue="upcpvPCgfRauRCjrozUUNhCuPuBrp5WT8iZ+7DE36sLA6SS9YtQvL6+LnjwS2yDlyQYIIE5aJw+hDRuCQ1exag==" saltValue="yw0kjs6LDk2UOYJk/fBSXw==" spinCount="100000" sheet="1" formatCells="0" formatColumns="0" formatRows="0" insertColumns="0" insertRows="0" insertHyperlinks="0" deleteColumns="0" deleteRows="0" sort="0" autoFilter="0" pivotTables="0"/>
  <mergeCells count="33">
    <mergeCell ref="B221:C221"/>
    <mergeCell ref="B222:C222"/>
    <mergeCell ref="B223:C223"/>
    <mergeCell ref="A9:A11"/>
    <mergeCell ref="A13:A14"/>
    <mergeCell ref="A15:A17"/>
    <mergeCell ref="A19:A69"/>
    <mergeCell ref="A71:A74"/>
    <mergeCell ref="A76:A80"/>
    <mergeCell ref="A82:A86"/>
    <mergeCell ref="A101:A104"/>
    <mergeCell ref="A106:A116"/>
    <mergeCell ref="C29:D29"/>
    <mergeCell ref="C45:D45"/>
    <mergeCell ref="C48:D48"/>
    <mergeCell ref="C100:D100"/>
    <mergeCell ref="C2:D2"/>
    <mergeCell ref="B4:P4"/>
    <mergeCell ref="C8:D8"/>
    <mergeCell ref="C12:D12"/>
    <mergeCell ref="C18:D18"/>
    <mergeCell ref="R17:W17"/>
    <mergeCell ref="R57:Z57"/>
    <mergeCell ref="C51:D51"/>
    <mergeCell ref="C81:D81"/>
    <mergeCell ref="C87:D87"/>
    <mergeCell ref="A88:A99"/>
    <mergeCell ref="C110:D110"/>
    <mergeCell ref="C54:D54"/>
    <mergeCell ref="C57:D57"/>
    <mergeCell ref="C66:D66"/>
    <mergeCell ref="C70:D70"/>
    <mergeCell ref="C75:D75"/>
  </mergeCells>
  <pageMargins left="0.55118110236220474" right="0.35433070866141736" top="0.39370078740157483" bottom="0.39370078740157483" header="0.51181102362204722" footer="0.51181102362204722"/>
  <pageSetup paperSize="9" scale="40" orientation="landscape" r:id="rId1"/>
  <rowBreaks count="2" manualBreakCount="2">
    <brk id="77" max="15" man="1"/>
    <brk id="116" max="15" man="1"/>
  </rowBreaks>
  <ignoredErrors>
    <ignoredError sqref="B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Лист1!Print_Titles</vt:lpstr>
      <vt:lpstr>Лист1!Заголовки_для_печати</vt:lpstr>
      <vt:lpstr>Лист1!Область_печати</vt:lpstr>
    </vt:vector>
  </TitlesOfParts>
  <Company>AdmHmao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Kokorina</dc:creator>
  <cp:lastModifiedBy>Лали Зурабовна Буркова</cp:lastModifiedBy>
  <cp:revision>4</cp:revision>
  <cp:lastPrinted>2024-07-29T06:13:28Z</cp:lastPrinted>
  <dcterms:created xsi:type="dcterms:W3CDTF">2007-04-10T02:31:00Z</dcterms:created>
  <dcterms:modified xsi:type="dcterms:W3CDTF">2024-07-30T11:20:52Z</dcterms:modified>
  <cp:version>917504</cp:version>
</cp:coreProperties>
</file>